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nik Willems\Box\BrightWolves - For Team\1. BUSINESS DEVELOPMENT\01 Value Propositions\Risk Assessment Covid\3 CF simulation\"/>
    </mc:Choice>
  </mc:AlternateContent>
  <xr:revisionPtr revIDLastSave="0" documentId="13_ncr:1_{EC8E93CE-B621-4AEC-B4DC-B7E7124192B4}" xr6:coauthVersionLast="45" xr6:coauthVersionMax="45" xr10:uidLastSave="{00000000-0000-0000-0000-000000000000}"/>
  <bookViews>
    <workbookView xWindow="-108" yWindow="-108" windowWidth="23256" windowHeight="12576" firstSheet="1" activeTab="2" xr2:uid="{E1D61377-A61E-4167-B862-805D0A0A3DCB}"/>
  </bookViews>
  <sheets>
    <sheet name="Budget" sheetId="9" state="hidden" r:id="rId1"/>
    <sheet name="BrightWolves CF Simulation" sheetId="10" r:id="rId2"/>
    <sheet name="(1) Budget 2020" sheetId="11" r:id="rId3"/>
    <sheet name="(2) Oper. &amp; Fin. Levers" sheetId="3" r:id="rId4"/>
    <sheet name="(3) Estimate" sheetId="7" r:id="rId5"/>
    <sheet name="(4) Analyses" sheetId="16" r:id="rId6"/>
    <sheet name="(5) Estimation Visuals" sheetId="13" r:id="rId7"/>
    <sheet name="Lists" sheetId="8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[1]INVESTISSEMENTS!$A$2:$L$113</definedName>
    <definedName name="_Order1" hidden="1">255</definedName>
    <definedName name="_Order2" hidden="1">255</definedName>
    <definedName name="AccessDatabase" hidden="1">"S:\A_Utilisateurs DAG\Morado Juan\Base_DIG_Datas.mdb"</definedName>
    <definedName name="Actifs_sj">'[2]Liste des champs (hidden)'!$B$27:$B$36</definedName>
    <definedName name="any_time">'[2]Liste des champs (hidden)'!$F$83</definedName>
    <definedName name="any_time_new">'[2]Liste des champs (hidden)'!$F$90</definedName>
    <definedName name="any_time_new_start">'[2]Liste des champs (hidden)'!$F$91</definedName>
    <definedName name="any_time_start">'[2]Liste des champs (hidden)'!$F$84</definedName>
    <definedName name="App_Name">[3]Parameters!$F$5</definedName>
    <definedName name="budget" hidden="1">[1]INVESTISSEMENTS!$A$2:$L$113</definedName>
    <definedName name="CopieDialogs">[0]!CopieDialogs</definedName>
    <definedName name="CopieDialogs2">[0]!CopieDialogs2</definedName>
    <definedName name="exit_options_new">'[2]Liste des champs (hidden)'!$F$89:$F$92</definedName>
    <definedName name="exploitation">'[4]DONNEES CUMUL'!$C$1:$N$254</definedName>
    <definedName name="FermerDialogMaintenance">[0]!FermerDialogMaintenance</definedName>
    <definedName name="Format_BFC">'[2]Liste des champs (hidden)'!$B$13:$B$23</definedName>
    <definedName name="indexation">[2]!Table17[Indexation France]</definedName>
    <definedName name="list_of_countries">'[2]Liste des champs 2017 (hidden)'!$I$5:$I$24</definedName>
    <definedName name="lkjfsljfls">[0]!lkjfsljfls</definedName>
    <definedName name="new">'[2]Liste des champs 2017 (hidden)'!$B$5</definedName>
    <definedName name="no_et">'[2]Liste des champs (hidden)'!$F$85</definedName>
    <definedName name="no_et_new">'[2]Liste des champs (hidden)'!$F$92</definedName>
    <definedName name="NOSTORE">'[2]Liste des champs (hidden)'!$B$10</definedName>
    <definedName name="out_closed">'[2]Liste des champs 2017 (hidden)'!$B$6</definedName>
    <definedName name="out_to_be">'[2]Liste des champs 2017 (hidden)'!$B$7</definedName>
    <definedName name="per">'[5]Report Eco ASS'!$AE$3</definedName>
    <definedName name="PI">'[2]Liste des champs (hidden)'!$B$8</definedName>
    <definedName name="Ref_TB_Total_Conso">'[6]Table pays'!$H$2</definedName>
    <definedName name="renewal">'[2]Liste des champs 2017 (hidden)'!$B$11</definedName>
    <definedName name="reporting_code">'[2]Liste des champs 2017 (hidden)'!$D$5:$D$649</definedName>
    <definedName name="scope_fy17">'[2]Liste des champs 2017 (hidden)'!$B$5:$B$12</definedName>
    <definedName name="sjdjshfk">[0]!sjdjshfk</definedName>
    <definedName name="Table_Pays">'[6]Table pays'!$C$2:$M$30</definedName>
    <definedName name="update_both">'[2]Liste des champs 2017 (hidden)'!$B$10</definedName>
    <definedName name="update_correction">'[2]Liste des champs 2017 (hidden)'!$B$9</definedName>
    <definedName name="update_modification">'[2]Liste des champs 2017 (hidden)'!$B$8</definedName>
    <definedName name="Z_1">[3]TB!$C$10:$T$94</definedName>
    <definedName name="Z_17">'[3]P&amp;L Quarter'!$C$3:$E$26</definedName>
    <definedName name="Z_2">[3]TB!$Y$10:$AP$94</definedName>
    <definedName name="Z_3">[3]TB!$AU$10:$BL$94</definedName>
    <definedName name="Z_4">[3]TB!$BQ$10:$CH$94</definedName>
    <definedName name="Z_5">[3]TB!$CM$10:$DD$94</definedName>
    <definedName name="Z_6">[3]TB!$DI$10:$DZ$94</definedName>
    <definedName name="Z_7">[3]TB!$A$209:$H$219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3" l="1"/>
  <c r="I97" i="3"/>
  <c r="J97" i="3"/>
  <c r="K97" i="3"/>
  <c r="L97" i="3"/>
  <c r="M97" i="3"/>
  <c r="N97" i="3"/>
  <c r="G122" i="3" l="1"/>
  <c r="H122" i="3"/>
  <c r="I122" i="3"/>
  <c r="J122" i="3"/>
  <c r="K122" i="3"/>
  <c r="L122" i="3"/>
  <c r="M122" i="3"/>
  <c r="N122" i="3"/>
  <c r="F122" i="3"/>
  <c r="D120" i="3" l="1"/>
  <c r="E120" i="3"/>
  <c r="F120" i="3"/>
  <c r="G120" i="3"/>
  <c r="H120" i="3"/>
  <c r="I120" i="3"/>
  <c r="J120" i="3"/>
  <c r="K120" i="3"/>
  <c r="L120" i="3"/>
  <c r="M120" i="3"/>
  <c r="N120" i="3"/>
  <c r="C120" i="3"/>
  <c r="D95" i="3"/>
  <c r="E95" i="3"/>
  <c r="F95" i="3"/>
  <c r="G95" i="3"/>
  <c r="H95" i="3"/>
  <c r="I95" i="3"/>
  <c r="J95" i="3"/>
  <c r="K95" i="3"/>
  <c r="L95" i="3"/>
  <c r="M95" i="3"/>
  <c r="N95" i="3"/>
  <c r="C95" i="3"/>
  <c r="F27" i="11"/>
  <c r="G27" i="11"/>
  <c r="H27" i="11"/>
  <c r="J28" i="7"/>
  <c r="K28" i="7"/>
  <c r="L28" i="7"/>
  <c r="M28" i="7"/>
  <c r="N28" i="7"/>
  <c r="O28" i="7"/>
  <c r="P28" i="7"/>
  <c r="Q28" i="7"/>
  <c r="I28" i="7"/>
  <c r="G69" i="11"/>
  <c r="H69" i="11"/>
  <c r="I69" i="11"/>
  <c r="J69" i="11"/>
  <c r="K69" i="11"/>
  <c r="L69" i="11"/>
  <c r="M69" i="11"/>
  <c r="N69" i="11"/>
  <c r="O69" i="11"/>
  <c r="P69" i="11"/>
  <c r="Q69" i="11"/>
  <c r="F69" i="11"/>
  <c r="G68" i="11"/>
  <c r="H68" i="11"/>
  <c r="I68" i="11"/>
  <c r="J68" i="11"/>
  <c r="K68" i="11"/>
  <c r="L68" i="11"/>
  <c r="M68" i="11"/>
  <c r="N68" i="11"/>
  <c r="O68" i="11"/>
  <c r="P68" i="11"/>
  <c r="Q68" i="11"/>
  <c r="J18" i="7" l="1"/>
  <c r="K18" i="7"/>
  <c r="L18" i="7"/>
  <c r="M18" i="7"/>
  <c r="N18" i="7"/>
  <c r="O18" i="7"/>
  <c r="P18" i="7"/>
  <c r="Q18" i="7"/>
  <c r="I18" i="7"/>
  <c r="K62" i="16" l="1"/>
  <c r="F89" i="7"/>
  <c r="G89" i="7"/>
  <c r="H89" i="7"/>
  <c r="E65" i="11"/>
  <c r="F65" i="11"/>
  <c r="G65" i="11"/>
  <c r="H65" i="11"/>
  <c r="I65" i="11"/>
  <c r="J65" i="11"/>
  <c r="L65" i="11"/>
  <c r="M65" i="11"/>
  <c r="N65" i="11"/>
  <c r="O65" i="11"/>
  <c r="P65" i="11"/>
  <c r="Q65" i="11"/>
  <c r="K65" i="11"/>
  <c r="J95" i="7"/>
  <c r="K95" i="7"/>
  <c r="L95" i="7"/>
  <c r="M95" i="7"/>
  <c r="N95" i="7"/>
  <c r="O95" i="7"/>
  <c r="P95" i="7"/>
  <c r="Q95" i="7"/>
  <c r="I95" i="7"/>
  <c r="G82" i="3"/>
  <c r="G84" i="3" s="1"/>
  <c r="F82" i="3"/>
  <c r="F84" i="3" s="1"/>
  <c r="C23" i="3"/>
  <c r="G133" i="3"/>
  <c r="J68" i="7" s="1"/>
  <c r="H133" i="3"/>
  <c r="K68" i="7" s="1"/>
  <c r="I133" i="3"/>
  <c r="L68" i="7" s="1"/>
  <c r="J133" i="3"/>
  <c r="M68" i="7" s="1"/>
  <c r="K133" i="3"/>
  <c r="N68" i="7" s="1"/>
  <c r="L133" i="3"/>
  <c r="O68" i="7" s="1"/>
  <c r="M133" i="3"/>
  <c r="P68" i="7" s="1"/>
  <c r="N133" i="3"/>
  <c r="Q68" i="7" s="1"/>
  <c r="F133" i="3"/>
  <c r="I68" i="7" s="1"/>
  <c r="F37" i="11"/>
  <c r="G37" i="11" s="1"/>
  <c r="H37" i="11" s="1"/>
  <c r="I37" i="11" s="1"/>
  <c r="J37" i="11" s="1"/>
  <c r="K37" i="11" s="1"/>
  <c r="L37" i="11" s="1"/>
  <c r="M37" i="11" s="1"/>
  <c r="N37" i="11" s="1"/>
  <c r="O37" i="11" s="1"/>
  <c r="P37" i="11" s="1"/>
  <c r="Q37" i="11" s="1"/>
  <c r="K13" i="11"/>
  <c r="L13" i="11"/>
  <c r="M13" i="11"/>
  <c r="J13" i="11"/>
  <c r="G13" i="11"/>
  <c r="H13" i="11"/>
  <c r="I13" i="11"/>
  <c r="F13" i="11"/>
  <c r="Q13" i="11"/>
  <c r="N13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E17" i="11"/>
  <c r="P13" i="11"/>
  <c r="O13" i="11"/>
  <c r="H82" i="3" l="1"/>
  <c r="H84" i="3" s="1"/>
  <c r="M14" i="16" l="1"/>
  <c r="M16" i="16"/>
  <c r="M20" i="16"/>
  <c r="M23" i="16"/>
  <c r="M38" i="16"/>
  <c r="M39" i="16"/>
  <c r="M58" i="16"/>
  <c r="M59" i="16"/>
  <c r="M61" i="16"/>
  <c r="M63" i="16"/>
  <c r="M64" i="16"/>
  <c r="M68" i="16"/>
  <c r="M72" i="16"/>
  <c r="J64" i="7" l="1"/>
  <c r="K64" i="7"/>
  <c r="L64" i="7"/>
  <c r="M64" i="7"/>
  <c r="N64" i="7"/>
  <c r="O64" i="7"/>
  <c r="P64" i="7"/>
  <c r="Q64" i="7"/>
  <c r="I64" i="7"/>
  <c r="M29" i="16" l="1"/>
  <c r="M30" i="16"/>
  <c r="M31" i="16"/>
  <c r="M32" i="16"/>
  <c r="M48" i="16"/>
  <c r="M49" i="16"/>
  <c r="M50" i="16"/>
  <c r="M51" i="16"/>
  <c r="J54" i="16"/>
  <c r="J55" i="16"/>
  <c r="J56" i="16"/>
  <c r="J60" i="16"/>
  <c r="J65" i="16"/>
  <c r="J66" i="16"/>
  <c r="J69" i="16"/>
  <c r="J70" i="16"/>
  <c r="R69" i="11"/>
  <c r="K66" i="16" s="1"/>
  <c r="R64" i="11"/>
  <c r="R63" i="11"/>
  <c r="K60" i="16" s="1"/>
  <c r="R58" i="11"/>
  <c r="K55" i="16" s="1"/>
  <c r="L38" i="16"/>
  <c r="L39" i="16"/>
  <c r="F64" i="7"/>
  <c r="F65" i="7" s="1"/>
  <c r="G64" i="7"/>
  <c r="G65" i="7" s="1"/>
  <c r="H64" i="7"/>
  <c r="H65" i="7" s="1"/>
  <c r="E64" i="7"/>
  <c r="E65" i="7" s="1"/>
  <c r="D84" i="3"/>
  <c r="E84" i="3"/>
  <c r="C84" i="3"/>
  <c r="K34" i="16"/>
  <c r="K35" i="16"/>
  <c r="K40" i="16"/>
  <c r="K17" i="16"/>
  <c r="K27" i="16"/>
  <c r="K9" i="16"/>
  <c r="G71" i="16"/>
  <c r="G70" i="16"/>
  <c r="G69" i="16"/>
  <c r="G67" i="16"/>
  <c r="G66" i="16"/>
  <c r="G65" i="16"/>
  <c r="G64" i="16"/>
  <c r="G62" i="16"/>
  <c r="G60" i="16"/>
  <c r="G59" i="16"/>
  <c r="G57" i="16"/>
  <c r="G56" i="16"/>
  <c r="G55" i="16"/>
  <c r="G53" i="16"/>
  <c r="G52" i="16"/>
  <c r="G51" i="16"/>
  <c r="G50" i="16"/>
  <c r="G47" i="16"/>
  <c r="G46" i="16"/>
  <c r="J45" i="16"/>
  <c r="G45" i="16"/>
  <c r="J44" i="16"/>
  <c r="G44" i="16"/>
  <c r="G43" i="16"/>
  <c r="J42" i="16"/>
  <c r="G42" i="16"/>
  <c r="J41" i="16"/>
  <c r="G41" i="16"/>
  <c r="J40" i="16"/>
  <c r="G40" i="16"/>
  <c r="G39" i="16"/>
  <c r="G37" i="16"/>
  <c r="J36" i="16"/>
  <c r="G36" i="16"/>
  <c r="J35" i="16"/>
  <c r="G35" i="16"/>
  <c r="J34" i="16"/>
  <c r="G34" i="16"/>
  <c r="J33" i="16"/>
  <c r="G33" i="16"/>
  <c r="G32" i="16"/>
  <c r="G31" i="16"/>
  <c r="G28" i="16"/>
  <c r="J26" i="16"/>
  <c r="G26" i="16"/>
  <c r="J25" i="16"/>
  <c r="G25" i="16"/>
  <c r="J22" i="16"/>
  <c r="G22" i="16"/>
  <c r="J19" i="16"/>
  <c r="G19" i="16"/>
  <c r="J18" i="16"/>
  <c r="G18" i="16"/>
  <c r="J17" i="16"/>
  <c r="G17" i="16"/>
  <c r="G16" i="16"/>
  <c r="G15" i="16"/>
  <c r="J13" i="16"/>
  <c r="G13" i="16"/>
  <c r="J12" i="16"/>
  <c r="G12" i="16"/>
  <c r="G11" i="16"/>
  <c r="H171" i="3"/>
  <c r="I171" i="3"/>
  <c r="J171" i="3"/>
  <c r="K171" i="3"/>
  <c r="L171" i="3"/>
  <c r="M171" i="3"/>
  <c r="N171" i="3"/>
  <c r="G171" i="3"/>
  <c r="R65" i="11" l="1"/>
  <c r="R64" i="7"/>
  <c r="J79" i="16"/>
  <c r="F171" i="3"/>
  <c r="D174" i="3" s="1"/>
  <c r="D93" i="3"/>
  <c r="D97" i="3" s="1"/>
  <c r="E93" i="3"/>
  <c r="E97" i="3" s="1"/>
  <c r="G93" i="3"/>
  <c r="H93" i="3"/>
  <c r="I93" i="3"/>
  <c r="J93" i="3"/>
  <c r="K93" i="3"/>
  <c r="L93" i="3"/>
  <c r="M93" i="3"/>
  <c r="N93" i="3"/>
  <c r="C105" i="3"/>
  <c r="C109" i="3" s="1"/>
  <c r="D105" i="3"/>
  <c r="E105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E122" i="3" l="1"/>
  <c r="D122" i="3"/>
  <c r="C122" i="3"/>
  <c r="R28" i="7"/>
  <c r="L27" i="16" s="1"/>
  <c r="M27" i="16" s="1"/>
  <c r="D109" i="3"/>
  <c r="E109" i="3"/>
  <c r="B50" i="7"/>
  <c r="Q69" i="7"/>
  <c r="P69" i="7"/>
  <c r="O69" i="7"/>
  <c r="N69" i="7"/>
  <c r="M69" i="7"/>
  <c r="L69" i="7"/>
  <c r="K69" i="7"/>
  <c r="J69" i="7"/>
  <c r="I69" i="7"/>
  <c r="N82" i="3"/>
  <c r="N84" i="3" s="1"/>
  <c r="M82" i="3"/>
  <c r="M84" i="3" s="1"/>
  <c r="L82" i="3"/>
  <c r="L84" i="3" s="1"/>
  <c r="K82" i="3"/>
  <c r="K84" i="3" s="1"/>
  <c r="J82" i="3"/>
  <c r="J84" i="3" s="1"/>
  <c r="I82" i="3"/>
  <c r="I84" i="3" s="1"/>
  <c r="E82" i="3"/>
  <c r="D82" i="3"/>
  <c r="C82" i="3"/>
  <c r="F112" i="11"/>
  <c r="E112" i="11"/>
  <c r="H111" i="11"/>
  <c r="G111" i="11"/>
  <c r="F111" i="11"/>
  <c r="E111" i="11"/>
  <c r="R21" i="7"/>
  <c r="O82" i="3" l="1"/>
  <c r="J62" i="16"/>
  <c r="D65" i="3"/>
  <c r="E65" i="3"/>
  <c r="F65" i="3"/>
  <c r="I63" i="7" s="1"/>
  <c r="G65" i="3"/>
  <c r="J63" i="7" s="1"/>
  <c r="H65" i="3"/>
  <c r="K63" i="7" s="1"/>
  <c r="I65" i="3"/>
  <c r="L63" i="7" s="1"/>
  <c r="J65" i="3"/>
  <c r="M63" i="7" s="1"/>
  <c r="K65" i="3"/>
  <c r="N63" i="7" s="1"/>
  <c r="L65" i="3"/>
  <c r="O63" i="7" s="1"/>
  <c r="M65" i="3"/>
  <c r="P63" i="7" s="1"/>
  <c r="N65" i="3"/>
  <c r="Q63" i="7" s="1"/>
  <c r="C65" i="3"/>
  <c r="E107" i="7"/>
  <c r="F104" i="7"/>
  <c r="E104" i="7"/>
  <c r="H93" i="7"/>
  <c r="G93" i="7"/>
  <c r="F93" i="7"/>
  <c r="E93" i="7"/>
  <c r="H92" i="7"/>
  <c r="G92" i="7"/>
  <c r="F92" i="7"/>
  <c r="E92" i="7"/>
  <c r="H87" i="7"/>
  <c r="G87" i="7"/>
  <c r="F87" i="7"/>
  <c r="E87" i="7"/>
  <c r="H86" i="7"/>
  <c r="G86" i="7"/>
  <c r="F86" i="7"/>
  <c r="E86" i="7"/>
  <c r="E85" i="7"/>
  <c r="H80" i="7"/>
  <c r="G80" i="7"/>
  <c r="F80" i="7"/>
  <c r="E80" i="7"/>
  <c r="H75" i="7"/>
  <c r="G75" i="7"/>
  <c r="F75" i="7"/>
  <c r="E75" i="7"/>
  <c r="E72" i="7"/>
  <c r="H71" i="7"/>
  <c r="G71" i="7"/>
  <c r="F71" i="7"/>
  <c r="E71" i="7"/>
  <c r="H69" i="7"/>
  <c r="G69" i="7"/>
  <c r="F69" i="7"/>
  <c r="E69" i="7"/>
  <c r="H68" i="7"/>
  <c r="H95" i="7" s="1"/>
  <c r="G68" i="7"/>
  <c r="G95" i="7" s="1"/>
  <c r="E68" i="7"/>
  <c r="H67" i="7"/>
  <c r="G67" i="7"/>
  <c r="F67" i="7"/>
  <c r="E67" i="7"/>
  <c r="H66" i="7"/>
  <c r="G66" i="7"/>
  <c r="F66" i="7"/>
  <c r="E66" i="7"/>
  <c r="H63" i="7"/>
  <c r="G63" i="7"/>
  <c r="F63" i="7"/>
  <c r="E63" i="7"/>
  <c r="H62" i="7"/>
  <c r="G62" i="7"/>
  <c r="F62" i="7"/>
  <c r="E62" i="7"/>
  <c r="H61" i="7"/>
  <c r="G61" i="7"/>
  <c r="F61" i="7"/>
  <c r="E61" i="7"/>
  <c r="E59" i="7"/>
  <c r="H58" i="7"/>
  <c r="G58" i="7"/>
  <c r="F58" i="7"/>
  <c r="E58" i="7"/>
  <c r="E46" i="7"/>
  <c r="E45" i="7"/>
  <c r="E43" i="7"/>
  <c r="E42" i="7"/>
  <c r="H41" i="7"/>
  <c r="G41" i="7"/>
  <c r="F41" i="7"/>
  <c r="E41" i="7"/>
  <c r="H40" i="7"/>
  <c r="G40" i="7"/>
  <c r="F40" i="7"/>
  <c r="E40" i="7"/>
  <c r="E37" i="7"/>
  <c r="H36" i="7"/>
  <c r="G36" i="7"/>
  <c r="F36" i="7"/>
  <c r="E36" i="7"/>
  <c r="H35" i="7"/>
  <c r="G35" i="7"/>
  <c r="E35" i="7"/>
  <c r="E27" i="7"/>
  <c r="E26" i="7"/>
  <c r="H23" i="7"/>
  <c r="G23" i="7"/>
  <c r="F23" i="7"/>
  <c r="E23" i="7"/>
  <c r="H20" i="7"/>
  <c r="G20" i="7"/>
  <c r="F20" i="7"/>
  <c r="E20" i="7"/>
  <c r="H19" i="7"/>
  <c r="G19" i="7"/>
  <c r="F19" i="7"/>
  <c r="E19" i="7"/>
  <c r="H18" i="7"/>
  <c r="G18" i="7"/>
  <c r="F18" i="7"/>
  <c r="E18" i="7"/>
  <c r="H14" i="7"/>
  <c r="G14" i="7"/>
  <c r="F14" i="7"/>
  <c r="E14" i="7"/>
  <c r="H13" i="7"/>
  <c r="G13" i="7"/>
  <c r="F13" i="7"/>
  <c r="E13" i="7"/>
  <c r="B13" i="7"/>
  <c r="B14" i="7"/>
  <c r="B16" i="7"/>
  <c r="B17" i="7"/>
  <c r="B18" i="7"/>
  <c r="B19" i="7"/>
  <c r="B20" i="7"/>
  <c r="B23" i="7"/>
  <c r="B26" i="7"/>
  <c r="B27" i="7"/>
  <c r="B29" i="7"/>
  <c r="B32" i="7"/>
  <c r="B33" i="7"/>
  <c r="B34" i="7"/>
  <c r="B35" i="7"/>
  <c r="B36" i="7"/>
  <c r="B37" i="7"/>
  <c r="B38" i="7"/>
  <c r="B40" i="7"/>
  <c r="B41" i="7"/>
  <c r="B42" i="7"/>
  <c r="B43" i="7"/>
  <c r="B44" i="7"/>
  <c r="B45" i="7"/>
  <c r="B46" i="7"/>
  <c r="B47" i="7"/>
  <c r="B48" i="7"/>
  <c r="B53" i="7"/>
  <c r="B54" i="7"/>
  <c r="B55" i="7"/>
  <c r="B56" i="7"/>
  <c r="B58" i="7"/>
  <c r="B59" i="7"/>
  <c r="B60" i="7"/>
  <c r="B62" i="7"/>
  <c r="B63" i="7"/>
  <c r="B65" i="7"/>
  <c r="B67" i="7"/>
  <c r="B68" i="7"/>
  <c r="B69" i="7"/>
  <c r="B70" i="7"/>
  <c r="B72" i="7"/>
  <c r="B73" i="7"/>
  <c r="B74" i="7"/>
  <c r="B76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101" i="7"/>
  <c r="B102" i="7"/>
  <c r="B104" i="7"/>
  <c r="B105" i="7"/>
  <c r="B106" i="7"/>
  <c r="B107" i="7"/>
  <c r="B108" i="7"/>
  <c r="B109" i="7"/>
  <c r="B110" i="7"/>
  <c r="B111" i="7"/>
  <c r="B112" i="7"/>
  <c r="B12" i="7"/>
  <c r="E110" i="11"/>
  <c r="E110" i="7" s="1"/>
  <c r="E97" i="11"/>
  <c r="E97" i="7" s="1"/>
  <c r="E95" i="11"/>
  <c r="E95" i="7" s="1"/>
  <c r="E91" i="11"/>
  <c r="F88" i="11" s="1"/>
  <c r="F88" i="7" s="1"/>
  <c r="H90" i="11"/>
  <c r="H90" i="7" s="1"/>
  <c r="G90" i="11"/>
  <c r="G90" i="7" s="1"/>
  <c r="F90" i="11"/>
  <c r="F90" i="7" s="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E89" i="7" s="1"/>
  <c r="E90" i="11"/>
  <c r="E90" i="7" s="1"/>
  <c r="E74" i="11"/>
  <c r="F97" i="11"/>
  <c r="F97" i="7" s="1"/>
  <c r="E112" i="7"/>
  <c r="E111" i="7"/>
  <c r="E105" i="11"/>
  <c r="E105" i="7" s="1"/>
  <c r="F105" i="3"/>
  <c r="K44" i="16"/>
  <c r="Q83" i="11"/>
  <c r="P83" i="11"/>
  <c r="O83" i="11"/>
  <c r="N83" i="11"/>
  <c r="M83" i="11"/>
  <c r="L83" i="11"/>
  <c r="K83" i="11"/>
  <c r="J83" i="11"/>
  <c r="I83" i="11"/>
  <c r="H83" i="11"/>
  <c r="H83" i="7" s="1"/>
  <c r="G83" i="11"/>
  <c r="G83" i="7" s="1"/>
  <c r="F83" i="11"/>
  <c r="F83" i="7" s="1"/>
  <c r="H82" i="11"/>
  <c r="H82" i="7" s="1"/>
  <c r="G82" i="11"/>
  <c r="G82" i="7" s="1"/>
  <c r="F82" i="11"/>
  <c r="F82" i="7" s="1"/>
  <c r="Q81" i="11"/>
  <c r="P81" i="11"/>
  <c r="O81" i="11"/>
  <c r="N81" i="11"/>
  <c r="M81" i="11"/>
  <c r="L81" i="11"/>
  <c r="K81" i="11"/>
  <c r="J81" i="11"/>
  <c r="H81" i="11"/>
  <c r="G81" i="11"/>
  <c r="E83" i="11"/>
  <c r="E83" i="7" s="1"/>
  <c r="E82" i="11"/>
  <c r="E81" i="11"/>
  <c r="Q110" i="11"/>
  <c r="Q110" i="7" s="1"/>
  <c r="P110" i="11"/>
  <c r="P110" i="7" s="1"/>
  <c r="O110" i="11"/>
  <c r="O110" i="7" s="1"/>
  <c r="N110" i="11"/>
  <c r="N110" i="7" s="1"/>
  <c r="M110" i="11"/>
  <c r="M110" i="7" s="1"/>
  <c r="L110" i="11"/>
  <c r="L110" i="7" s="1"/>
  <c r="K110" i="11"/>
  <c r="K110" i="7" s="1"/>
  <c r="J110" i="11"/>
  <c r="J110" i="7" s="1"/>
  <c r="Q105" i="11"/>
  <c r="Q105" i="7" s="1"/>
  <c r="P105" i="11"/>
  <c r="P105" i="7" s="1"/>
  <c r="O105" i="11"/>
  <c r="O105" i="7" s="1"/>
  <c r="N105" i="11"/>
  <c r="N105" i="7" s="1"/>
  <c r="M105" i="11"/>
  <c r="M105" i="7" s="1"/>
  <c r="L105" i="11"/>
  <c r="L105" i="7" s="1"/>
  <c r="K105" i="11"/>
  <c r="K105" i="7" s="1"/>
  <c r="J105" i="11"/>
  <c r="J105" i="7" s="1"/>
  <c r="I105" i="11"/>
  <c r="I105" i="7" s="1"/>
  <c r="Q104" i="11"/>
  <c r="Q104" i="7" s="1"/>
  <c r="P104" i="11"/>
  <c r="P104" i="7" s="1"/>
  <c r="O104" i="11"/>
  <c r="O104" i="7" s="1"/>
  <c r="N104" i="11"/>
  <c r="N104" i="7" s="1"/>
  <c r="M104" i="11"/>
  <c r="M104" i="7" s="1"/>
  <c r="L104" i="11"/>
  <c r="L104" i="7" s="1"/>
  <c r="K104" i="11"/>
  <c r="K104" i="7" s="1"/>
  <c r="J104" i="11"/>
  <c r="J104" i="7" s="1"/>
  <c r="I104" i="11"/>
  <c r="I104" i="7" s="1"/>
  <c r="I90" i="11"/>
  <c r="H112" i="11"/>
  <c r="H112" i="7" s="1"/>
  <c r="H111" i="7"/>
  <c r="H110" i="11"/>
  <c r="H110" i="7" s="1"/>
  <c r="H105" i="11"/>
  <c r="H105" i="7" s="1"/>
  <c r="H104" i="11"/>
  <c r="H104" i="7" s="1"/>
  <c r="G104" i="11"/>
  <c r="G104" i="7" s="1"/>
  <c r="F112" i="7"/>
  <c r="F111" i="7"/>
  <c r="F105" i="11"/>
  <c r="F105" i="7" s="1"/>
  <c r="G112" i="11"/>
  <c r="G112" i="7" s="1"/>
  <c r="G111" i="7"/>
  <c r="G110" i="11"/>
  <c r="G110" i="7" s="1"/>
  <c r="G105" i="11"/>
  <c r="G105" i="7" s="1"/>
  <c r="R14" i="11"/>
  <c r="K13" i="16" s="1"/>
  <c r="R17" i="11"/>
  <c r="R18" i="11"/>
  <c r="I89" i="7" l="1"/>
  <c r="I65" i="7"/>
  <c r="R69" i="7"/>
  <c r="L66" i="16" s="1"/>
  <c r="M66" i="16" s="1"/>
  <c r="L65" i="7"/>
  <c r="L89" i="7"/>
  <c r="K65" i="7"/>
  <c r="K89" i="7"/>
  <c r="N65" i="7"/>
  <c r="N89" i="7"/>
  <c r="Q89" i="7"/>
  <c r="Q65" i="7"/>
  <c r="O89" i="7"/>
  <c r="O65" i="7"/>
  <c r="M65" i="7"/>
  <c r="M89" i="7"/>
  <c r="J65" i="7"/>
  <c r="J89" i="7"/>
  <c r="P89" i="7"/>
  <c r="P65" i="7"/>
  <c r="G17" i="7"/>
  <c r="H17" i="7"/>
  <c r="F17" i="7"/>
  <c r="E17" i="7"/>
  <c r="F73" i="11"/>
  <c r="F73" i="7" s="1"/>
  <c r="J71" i="16"/>
  <c r="R63" i="7"/>
  <c r="R65" i="7" s="1"/>
  <c r="I81" i="11"/>
  <c r="F93" i="3"/>
  <c r="G43" i="7"/>
  <c r="C132" i="3"/>
  <c r="E81" i="7"/>
  <c r="E84" i="11"/>
  <c r="E84" i="7" s="1"/>
  <c r="H81" i="7"/>
  <c r="H84" i="11"/>
  <c r="G81" i="7"/>
  <c r="G84" i="11"/>
  <c r="I82" i="11"/>
  <c r="I111" i="11"/>
  <c r="I111" i="7" s="1"/>
  <c r="O83" i="3"/>
  <c r="G45" i="7"/>
  <c r="H45" i="7"/>
  <c r="I45" i="7" s="1"/>
  <c r="J45" i="7" s="1"/>
  <c r="K45" i="7" s="1"/>
  <c r="L45" i="7" s="1"/>
  <c r="M45" i="7" s="1"/>
  <c r="E34" i="7"/>
  <c r="E74" i="7"/>
  <c r="E82" i="7"/>
  <c r="E91" i="7"/>
  <c r="F26" i="7"/>
  <c r="F43" i="7"/>
  <c r="F45" i="7"/>
  <c r="F68" i="11"/>
  <c r="E88" i="11"/>
  <c r="G105" i="3"/>
  <c r="R19" i="11"/>
  <c r="K18" i="16" s="1"/>
  <c r="J112" i="11"/>
  <c r="J112" i="7" s="1"/>
  <c r="K112" i="11"/>
  <c r="K112" i="7" s="1"/>
  <c r="I112" i="11"/>
  <c r="I112" i="7" s="1"/>
  <c r="I110" i="11"/>
  <c r="I110" i="7" s="1"/>
  <c r="I84" i="11" l="1"/>
  <c r="I85" i="11" s="1"/>
  <c r="H85" i="11"/>
  <c r="F68" i="7"/>
  <c r="R68" i="11"/>
  <c r="N45" i="7"/>
  <c r="O45" i="7" s="1"/>
  <c r="P45" i="7" s="1"/>
  <c r="Q45" i="7" s="1"/>
  <c r="L44" i="16" s="1"/>
  <c r="M44" i="16" s="1"/>
  <c r="L60" i="16"/>
  <c r="M60" i="16" s="1"/>
  <c r="L62" i="16"/>
  <c r="M62" i="16" s="1"/>
  <c r="D132" i="3"/>
  <c r="J82" i="11"/>
  <c r="J84" i="11" s="1"/>
  <c r="J111" i="11"/>
  <c r="J111" i="7" s="1"/>
  <c r="E88" i="7"/>
  <c r="E106" i="11"/>
  <c r="E106" i="7" s="1"/>
  <c r="G97" i="11"/>
  <c r="G97" i="7" s="1"/>
  <c r="G26" i="7"/>
  <c r="J90" i="11"/>
  <c r="H105" i="3"/>
  <c r="M112" i="11"/>
  <c r="M112" i="7" s="1"/>
  <c r="L112" i="11"/>
  <c r="L112" i="7" s="1"/>
  <c r="R68" i="7" l="1"/>
  <c r="L65" i="16" s="1"/>
  <c r="F95" i="7"/>
  <c r="R70" i="11"/>
  <c r="K67" i="16" s="1"/>
  <c r="K65" i="16"/>
  <c r="E132" i="3"/>
  <c r="H43" i="7"/>
  <c r="I105" i="3"/>
  <c r="K111" i="11"/>
  <c r="K111" i="7" s="1"/>
  <c r="J85" i="11"/>
  <c r="H26" i="7"/>
  <c r="H97" i="11"/>
  <c r="H97" i="7" s="1"/>
  <c r="K90" i="11"/>
  <c r="L82" i="11"/>
  <c r="L84" i="11" s="1"/>
  <c r="K82" i="11"/>
  <c r="K84" i="11" s="1"/>
  <c r="K85" i="11" s="1"/>
  <c r="N112" i="11"/>
  <c r="N112" i="7" s="1"/>
  <c r="R70" i="7" l="1"/>
  <c r="L67" i="16" s="1"/>
  <c r="M67" i="16" s="1"/>
  <c r="I134" i="3"/>
  <c r="M134" i="3"/>
  <c r="N134" i="3"/>
  <c r="J134" i="3"/>
  <c r="G134" i="3"/>
  <c r="F134" i="3"/>
  <c r="F138" i="3" s="1"/>
  <c r="H134" i="3"/>
  <c r="K134" i="3"/>
  <c r="L134" i="3"/>
  <c r="M65" i="16"/>
  <c r="L85" i="11"/>
  <c r="F132" i="3"/>
  <c r="J105" i="3"/>
  <c r="L111" i="11"/>
  <c r="L111" i="7" s="1"/>
  <c r="J97" i="11"/>
  <c r="I97" i="11"/>
  <c r="G84" i="7"/>
  <c r="L90" i="11"/>
  <c r="K97" i="11" l="1"/>
  <c r="G132" i="3"/>
  <c r="G138" i="3" s="1"/>
  <c r="K105" i="3"/>
  <c r="M111" i="11"/>
  <c r="M111" i="7" s="1"/>
  <c r="M82" i="11"/>
  <c r="M84" i="11" s="1"/>
  <c r="H84" i="7"/>
  <c r="I59" i="11"/>
  <c r="H85" i="7"/>
  <c r="M90" i="11"/>
  <c r="L97" i="11"/>
  <c r="O112" i="11"/>
  <c r="O112" i="7" s="1"/>
  <c r="J96" i="7" l="1"/>
  <c r="K94" i="7" s="1"/>
  <c r="I96" i="7"/>
  <c r="J94" i="7" s="1"/>
  <c r="H132" i="3"/>
  <c r="H138" i="3" s="1"/>
  <c r="M85" i="11"/>
  <c r="L105" i="3"/>
  <c r="N111" i="11"/>
  <c r="N111" i="7" s="1"/>
  <c r="N82" i="11"/>
  <c r="N84" i="11" s="1"/>
  <c r="H59" i="11"/>
  <c r="H59" i="7" s="1"/>
  <c r="J59" i="11"/>
  <c r="N90" i="11"/>
  <c r="M97" i="11"/>
  <c r="R20" i="11"/>
  <c r="K19" i="16" s="1"/>
  <c r="P112" i="11"/>
  <c r="P112" i="7" s="1"/>
  <c r="K96" i="7" l="1"/>
  <c r="L94" i="7" s="1"/>
  <c r="I132" i="3"/>
  <c r="I138" i="3" s="1"/>
  <c r="M105" i="3"/>
  <c r="O111" i="11"/>
  <c r="O111" i="7" s="1"/>
  <c r="O82" i="11"/>
  <c r="O84" i="11" s="1"/>
  <c r="O85" i="11" s="1"/>
  <c r="N85" i="11"/>
  <c r="K59" i="11"/>
  <c r="O90" i="11"/>
  <c r="N97" i="11"/>
  <c r="Q112" i="11"/>
  <c r="Q112" i="7" s="1"/>
  <c r="L96" i="7" l="1"/>
  <c r="M94" i="7" s="1"/>
  <c r="J132" i="3"/>
  <c r="J138" i="3" s="1"/>
  <c r="N105" i="3"/>
  <c r="P111" i="11"/>
  <c r="P111" i="7" s="1"/>
  <c r="P82" i="11"/>
  <c r="P84" i="11" s="1"/>
  <c r="L59" i="11"/>
  <c r="Q90" i="11"/>
  <c r="P90" i="11"/>
  <c r="O97" i="11"/>
  <c r="M96" i="7" l="1"/>
  <c r="N94" i="7" s="1"/>
  <c r="K132" i="3"/>
  <c r="K138" i="3" s="1"/>
  <c r="Q111" i="11"/>
  <c r="Q111" i="7" s="1"/>
  <c r="Q82" i="11"/>
  <c r="Q84" i="11" s="1"/>
  <c r="Q85" i="11" s="1"/>
  <c r="P85" i="11"/>
  <c r="M59" i="11"/>
  <c r="R23" i="11"/>
  <c r="K22" i="16" s="1"/>
  <c r="P97" i="11"/>
  <c r="N96" i="7" l="1"/>
  <c r="L132" i="3"/>
  <c r="L138" i="3" s="1"/>
  <c r="N59" i="11"/>
  <c r="Q97" i="11"/>
  <c r="R26" i="11"/>
  <c r="K25" i="16" s="1"/>
  <c r="O96" i="7" l="1"/>
  <c r="N43" i="7"/>
  <c r="O94" i="7"/>
  <c r="M132" i="3"/>
  <c r="M138" i="3" s="1"/>
  <c r="O59" i="11"/>
  <c r="P96" i="7" l="1"/>
  <c r="P94" i="7"/>
  <c r="O43" i="7"/>
  <c r="N132" i="3"/>
  <c r="N138" i="3" s="1"/>
  <c r="K42" i="16"/>
  <c r="P59" i="11"/>
  <c r="Q96" i="7" l="1"/>
  <c r="Q43" i="7" s="1"/>
  <c r="P43" i="7"/>
  <c r="Q94" i="7"/>
  <c r="Q59" i="11"/>
  <c r="D52" i="3"/>
  <c r="D54" i="3" s="1"/>
  <c r="E52" i="3"/>
  <c r="E54" i="3" s="1"/>
  <c r="F52" i="3"/>
  <c r="F54" i="3" s="1"/>
  <c r="I20" i="7" s="1"/>
  <c r="G52" i="3"/>
  <c r="G54" i="3" s="1"/>
  <c r="J20" i="7" s="1"/>
  <c r="H52" i="3"/>
  <c r="H54" i="3" s="1"/>
  <c r="K20" i="7" s="1"/>
  <c r="I52" i="3"/>
  <c r="I54" i="3" s="1"/>
  <c r="L20" i="7" s="1"/>
  <c r="J52" i="3"/>
  <c r="J54" i="3" s="1"/>
  <c r="M20" i="7" s="1"/>
  <c r="K52" i="3"/>
  <c r="K54" i="3" s="1"/>
  <c r="N20" i="7" s="1"/>
  <c r="L52" i="3"/>
  <c r="L54" i="3" s="1"/>
  <c r="O20" i="7" s="1"/>
  <c r="M52" i="3"/>
  <c r="M54" i="3" s="1"/>
  <c r="P20" i="7" s="1"/>
  <c r="N52" i="3"/>
  <c r="N54" i="3" s="1"/>
  <c r="Q20" i="7" s="1"/>
  <c r="C52" i="3"/>
  <c r="C54" i="3" s="1"/>
  <c r="D41" i="3"/>
  <c r="D43" i="3" s="1"/>
  <c r="E41" i="3"/>
  <c r="F41" i="3"/>
  <c r="G41" i="3"/>
  <c r="H41" i="3"/>
  <c r="I41" i="3"/>
  <c r="J41" i="3"/>
  <c r="K41" i="3"/>
  <c r="L41" i="3"/>
  <c r="M41" i="3"/>
  <c r="N41" i="3"/>
  <c r="C41" i="3"/>
  <c r="C43" i="3" s="1"/>
  <c r="D27" i="3"/>
  <c r="D29" i="3" s="1"/>
  <c r="E27" i="3"/>
  <c r="E29" i="3" s="1"/>
  <c r="C27" i="3"/>
  <c r="D14" i="3"/>
  <c r="E14" i="3"/>
  <c r="F14" i="3"/>
  <c r="G14" i="3"/>
  <c r="H14" i="3"/>
  <c r="I14" i="3"/>
  <c r="J14" i="3"/>
  <c r="K14" i="3"/>
  <c r="L14" i="3"/>
  <c r="M14" i="3"/>
  <c r="N14" i="3"/>
  <c r="C14" i="3"/>
  <c r="I16" i="11"/>
  <c r="I22" i="11" s="1"/>
  <c r="J16" i="11"/>
  <c r="J22" i="11" s="1"/>
  <c r="K16" i="11"/>
  <c r="K22" i="11" s="1"/>
  <c r="L16" i="11"/>
  <c r="L22" i="11" s="1"/>
  <c r="M16" i="11"/>
  <c r="M22" i="11" s="1"/>
  <c r="N16" i="11"/>
  <c r="N22" i="11" s="1"/>
  <c r="O16" i="11"/>
  <c r="O22" i="11" s="1"/>
  <c r="P16" i="11"/>
  <c r="P22" i="11" s="1"/>
  <c r="Q16" i="11"/>
  <c r="Q22" i="11" s="1"/>
  <c r="I56" i="11"/>
  <c r="J56" i="11"/>
  <c r="K56" i="11"/>
  <c r="L56" i="11"/>
  <c r="M56" i="11"/>
  <c r="N56" i="11"/>
  <c r="O56" i="11"/>
  <c r="P56" i="11"/>
  <c r="Q56" i="11"/>
  <c r="F91" i="11"/>
  <c r="E73" i="11"/>
  <c r="E73" i="7" s="1"/>
  <c r="E70" i="11"/>
  <c r="H56" i="11"/>
  <c r="H56" i="7" s="1"/>
  <c r="G56" i="11"/>
  <c r="G56" i="7" s="1"/>
  <c r="F56" i="11"/>
  <c r="E56" i="11"/>
  <c r="E47" i="11"/>
  <c r="E38" i="11"/>
  <c r="H16" i="11"/>
  <c r="G16" i="11"/>
  <c r="F16" i="11"/>
  <c r="E16" i="11"/>
  <c r="J15" i="16" s="1"/>
  <c r="E43" i="3" l="1"/>
  <c r="N16" i="3"/>
  <c r="L16" i="3"/>
  <c r="K16" i="3"/>
  <c r="C29" i="3"/>
  <c r="N27" i="3"/>
  <c r="N29" i="3" s="1"/>
  <c r="J16" i="3"/>
  <c r="I16" i="3"/>
  <c r="F16" i="3"/>
  <c r="H16" i="3"/>
  <c r="M16" i="3"/>
  <c r="G16" i="3"/>
  <c r="F56" i="7"/>
  <c r="R56" i="11"/>
  <c r="K53" i="16" s="1"/>
  <c r="E70" i="7"/>
  <c r="J67" i="16"/>
  <c r="E47" i="7"/>
  <c r="J46" i="16"/>
  <c r="E38" i="7"/>
  <c r="J37" i="16"/>
  <c r="E56" i="7"/>
  <c r="J53" i="16"/>
  <c r="J75" i="16"/>
  <c r="J21" i="16"/>
  <c r="M43" i="3"/>
  <c r="N43" i="3"/>
  <c r="L43" i="3"/>
  <c r="K43" i="3"/>
  <c r="F43" i="3"/>
  <c r="J43" i="3"/>
  <c r="I43" i="3"/>
  <c r="H43" i="3"/>
  <c r="G43" i="3"/>
  <c r="N25" i="11"/>
  <c r="N103" i="11"/>
  <c r="M25" i="11"/>
  <c r="M103" i="11"/>
  <c r="L25" i="11"/>
  <c r="L103" i="11"/>
  <c r="K25" i="11"/>
  <c r="K103" i="11"/>
  <c r="J25" i="11"/>
  <c r="J103" i="11"/>
  <c r="O25" i="11"/>
  <c r="O103" i="11"/>
  <c r="Q25" i="11"/>
  <c r="Q103" i="11"/>
  <c r="I25" i="11"/>
  <c r="I103" i="11"/>
  <c r="P25" i="11"/>
  <c r="P103" i="11"/>
  <c r="E16" i="7"/>
  <c r="E22" i="7" s="1"/>
  <c r="E22" i="11"/>
  <c r="F16" i="7"/>
  <c r="F22" i="7" s="1"/>
  <c r="F22" i="11"/>
  <c r="G16" i="7"/>
  <c r="G22" i="7" s="1"/>
  <c r="G22" i="11"/>
  <c r="H16" i="7"/>
  <c r="H22" i="7" s="1"/>
  <c r="H22" i="11"/>
  <c r="R18" i="7"/>
  <c r="L17" i="16" s="1"/>
  <c r="M17" i="16" s="1"/>
  <c r="G88" i="11"/>
  <c r="G88" i="7" s="1"/>
  <c r="F91" i="7"/>
  <c r="R16" i="11"/>
  <c r="O54" i="3"/>
  <c r="O52" i="3"/>
  <c r="O14" i="3"/>
  <c r="O41" i="3"/>
  <c r="R13" i="11"/>
  <c r="K12" i="16" s="1"/>
  <c r="D16" i="3"/>
  <c r="E16" i="3"/>
  <c r="C16" i="3"/>
  <c r="J94" i="3" l="1"/>
  <c r="M35" i="7" s="1"/>
  <c r="K94" i="3"/>
  <c r="N35" i="7" s="1"/>
  <c r="N94" i="3"/>
  <c r="Q35" i="7" s="1"/>
  <c r="M94" i="3"/>
  <c r="P35" i="7" s="1"/>
  <c r="I94" i="3"/>
  <c r="L35" i="7" s="1"/>
  <c r="H94" i="3"/>
  <c r="K35" i="7" s="1"/>
  <c r="L94" i="3"/>
  <c r="O35" i="7" s="1"/>
  <c r="F94" i="3"/>
  <c r="G94" i="3"/>
  <c r="M13" i="7"/>
  <c r="I13" i="7"/>
  <c r="L13" i="7"/>
  <c r="J13" i="7"/>
  <c r="N13" i="7"/>
  <c r="P13" i="7"/>
  <c r="O13" i="7"/>
  <c r="K13" i="7"/>
  <c r="Q13" i="7"/>
  <c r="Q14" i="7"/>
  <c r="I27" i="3"/>
  <c r="I29" i="3" s="1"/>
  <c r="G27" i="3"/>
  <c r="G29" i="3" s="1"/>
  <c r="H27" i="3"/>
  <c r="H29" i="3" s="1"/>
  <c r="L27" i="3"/>
  <c r="L29" i="3" s="1"/>
  <c r="F27" i="3"/>
  <c r="F29" i="3" s="1"/>
  <c r="F119" i="3" s="1"/>
  <c r="I41" i="7" s="1"/>
  <c r="K27" i="3"/>
  <c r="K29" i="3" s="1"/>
  <c r="M27" i="3"/>
  <c r="M29" i="3" s="1"/>
  <c r="J27" i="3"/>
  <c r="R22" i="11"/>
  <c r="K15" i="16"/>
  <c r="K75" i="16" s="1"/>
  <c r="J80" i="16"/>
  <c r="J24" i="16"/>
  <c r="J76" i="16"/>
  <c r="R20" i="7"/>
  <c r="L19" i="16" s="1"/>
  <c r="M19" i="16" s="1"/>
  <c r="O43" i="3"/>
  <c r="O42" i="3" s="1"/>
  <c r="G25" i="7"/>
  <c r="G103" i="7"/>
  <c r="E25" i="7"/>
  <c r="E29" i="7" s="1"/>
  <c r="E103" i="7"/>
  <c r="F25" i="7"/>
  <c r="F103" i="7"/>
  <c r="H25" i="7"/>
  <c r="H103" i="7"/>
  <c r="F25" i="11"/>
  <c r="F103" i="11"/>
  <c r="D106" i="3"/>
  <c r="C106" i="3"/>
  <c r="E106" i="3"/>
  <c r="F106" i="3"/>
  <c r="G106" i="3"/>
  <c r="H106" i="3"/>
  <c r="I106" i="3"/>
  <c r="J106" i="3"/>
  <c r="K106" i="3"/>
  <c r="L106" i="3"/>
  <c r="M106" i="3"/>
  <c r="N106" i="3"/>
  <c r="E25" i="11"/>
  <c r="E29" i="11" s="1"/>
  <c r="E103" i="11"/>
  <c r="G25" i="11"/>
  <c r="G103" i="11"/>
  <c r="H25" i="11"/>
  <c r="H103" i="11"/>
  <c r="F106" i="11"/>
  <c r="F106" i="7" s="1"/>
  <c r="F37" i="7"/>
  <c r="E76" i="11"/>
  <c r="E76" i="7" s="1"/>
  <c r="G91" i="11"/>
  <c r="O53" i="3"/>
  <c r="F97" i="3" l="1"/>
  <c r="I35" i="7" s="1"/>
  <c r="G97" i="3"/>
  <c r="J35" i="7" s="1"/>
  <c r="J81" i="7" s="1"/>
  <c r="G119" i="3"/>
  <c r="J41" i="7" s="1"/>
  <c r="J83" i="7" s="1"/>
  <c r="I119" i="3"/>
  <c r="L41" i="7" s="1"/>
  <c r="L83" i="7" s="1"/>
  <c r="M119" i="3"/>
  <c r="P41" i="7" s="1"/>
  <c r="P83" i="7" s="1"/>
  <c r="L119" i="3"/>
  <c r="O41" i="7" s="1"/>
  <c r="O83" i="7" s="1"/>
  <c r="H119" i="3"/>
  <c r="K41" i="7" s="1"/>
  <c r="K83" i="7" s="1"/>
  <c r="N119" i="3"/>
  <c r="Q41" i="7" s="1"/>
  <c r="J29" i="3"/>
  <c r="J14" i="7"/>
  <c r="K14" i="7"/>
  <c r="O14" i="7"/>
  <c r="L14" i="7"/>
  <c r="P14" i="7"/>
  <c r="N14" i="7"/>
  <c r="O27" i="3"/>
  <c r="R25" i="11"/>
  <c r="K24" i="16" s="1"/>
  <c r="K77" i="16" s="1"/>
  <c r="K21" i="16"/>
  <c r="K76" i="16" s="1"/>
  <c r="J28" i="16"/>
  <c r="J77" i="16"/>
  <c r="K109" i="3"/>
  <c r="I109" i="3"/>
  <c r="L36" i="7" s="1"/>
  <c r="L82" i="7" s="1"/>
  <c r="J109" i="3"/>
  <c r="M36" i="7" s="1"/>
  <c r="M82" i="7" s="1"/>
  <c r="H109" i="3"/>
  <c r="K36" i="7" s="1"/>
  <c r="K82" i="7" s="1"/>
  <c r="G109" i="3"/>
  <c r="J36" i="7" s="1"/>
  <c r="J82" i="7" s="1"/>
  <c r="N109" i="3"/>
  <c r="Q36" i="7" s="1"/>
  <c r="M109" i="3"/>
  <c r="F109" i="3"/>
  <c r="I36" i="7" s="1"/>
  <c r="L109" i="3"/>
  <c r="E108" i="11"/>
  <c r="P81" i="7"/>
  <c r="L81" i="7"/>
  <c r="K81" i="7"/>
  <c r="N81" i="7"/>
  <c r="M81" i="7"/>
  <c r="O81" i="7"/>
  <c r="H88" i="11"/>
  <c r="H88" i="7" s="1"/>
  <c r="G91" i="7"/>
  <c r="G37" i="7"/>
  <c r="O70" i="7"/>
  <c r="N70" i="7"/>
  <c r="Q70" i="7"/>
  <c r="P70" i="7"/>
  <c r="N7" i="9"/>
  <c r="O7" i="9"/>
  <c r="P7" i="9"/>
  <c r="Q7" i="9"/>
  <c r="R7" i="9"/>
  <c r="J19" i="7"/>
  <c r="J17" i="7" s="1"/>
  <c r="K19" i="7"/>
  <c r="K17" i="7" s="1"/>
  <c r="L19" i="7"/>
  <c r="L17" i="7" s="1"/>
  <c r="M19" i="7"/>
  <c r="M17" i="7" s="1"/>
  <c r="N19" i="7"/>
  <c r="N17" i="7" s="1"/>
  <c r="O19" i="7"/>
  <c r="O17" i="7" s="1"/>
  <c r="P19" i="7"/>
  <c r="P17" i="7" s="1"/>
  <c r="Q19" i="7"/>
  <c r="Q17" i="7" s="1"/>
  <c r="I19" i="7"/>
  <c r="I17" i="7" s="1"/>
  <c r="R29" i="9"/>
  <c r="N72" i="9"/>
  <c r="N73" i="9" s="1"/>
  <c r="O72" i="9"/>
  <c r="O73" i="9" s="1"/>
  <c r="P72" i="9"/>
  <c r="P73" i="9" s="1"/>
  <c r="Q72" i="9"/>
  <c r="Q73" i="9" s="1"/>
  <c r="R72" i="9"/>
  <c r="R73" i="9"/>
  <c r="N76" i="9"/>
  <c r="N78" i="9" s="1"/>
  <c r="O76" i="9"/>
  <c r="O78" i="9" s="1"/>
  <c r="P76" i="9"/>
  <c r="Q76" i="9"/>
  <c r="R76" i="9"/>
  <c r="N77" i="9"/>
  <c r="O77" i="9"/>
  <c r="P77" i="9"/>
  <c r="Q77" i="9"/>
  <c r="Q78" i="9" s="1"/>
  <c r="R77" i="9"/>
  <c r="R78" i="9" s="1"/>
  <c r="P78" i="9"/>
  <c r="N81" i="9"/>
  <c r="N89" i="9"/>
  <c r="O89" i="9"/>
  <c r="P89" i="9"/>
  <c r="Q89" i="9"/>
  <c r="R89" i="9"/>
  <c r="N90" i="9"/>
  <c r="N92" i="9" s="1"/>
  <c r="N93" i="9" s="1"/>
  <c r="N68" i="9" s="1"/>
  <c r="O90" i="9"/>
  <c r="O92" i="9" s="1"/>
  <c r="P90" i="9"/>
  <c r="Q90" i="9"/>
  <c r="R90" i="9"/>
  <c r="N91" i="9"/>
  <c r="O91" i="9"/>
  <c r="P91" i="9"/>
  <c r="Q91" i="9"/>
  <c r="Q92" i="9" s="1"/>
  <c r="Q93" i="9" s="1"/>
  <c r="Q68" i="9" s="1"/>
  <c r="P92" i="9"/>
  <c r="N96" i="9"/>
  <c r="N97" i="9"/>
  <c r="N99" i="9" s="1"/>
  <c r="O97" i="9"/>
  <c r="P97" i="9"/>
  <c r="Q97" i="9"/>
  <c r="R97" i="9"/>
  <c r="N98" i="9"/>
  <c r="N102" i="9"/>
  <c r="N104" i="9" s="1"/>
  <c r="N103" i="9"/>
  <c r="O103" i="9"/>
  <c r="P103" i="9"/>
  <c r="Q103" i="9"/>
  <c r="R103" i="9"/>
  <c r="N52" i="9"/>
  <c r="O52" i="9"/>
  <c r="P52" i="9"/>
  <c r="Q52" i="9"/>
  <c r="R52" i="9"/>
  <c r="R91" i="9" s="1"/>
  <c r="R92" i="9" s="1"/>
  <c r="N56" i="9"/>
  <c r="O56" i="9"/>
  <c r="P56" i="9" s="1"/>
  <c r="N46" i="9"/>
  <c r="O46" i="9"/>
  <c r="P46" i="9"/>
  <c r="Q46" i="9"/>
  <c r="R46" i="9"/>
  <c r="N47" i="9"/>
  <c r="O47" i="9"/>
  <c r="P47" i="9"/>
  <c r="Q47" i="9"/>
  <c r="R47" i="9"/>
  <c r="N32" i="9"/>
  <c r="O32" i="9"/>
  <c r="P32" i="9"/>
  <c r="Q32" i="9"/>
  <c r="R32" i="9"/>
  <c r="N33" i="9"/>
  <c r="O33" i="9"/>
  <c r="P33" i="9"/>
  <c r="Q33" i="9"/>
  <c r="R33" i="9"/>
  <c r="N34" i="9"/>
  <c r="R28" i="9"/>
  <c r="H104" i="9"/>
  <c r="G104" i="9"/>
  <c r="F104" i="9"/>
  <c r="E104" i="9"/>
  <c r="M103" i="9"/>
  <c r="L103" i="9"/>
  <c r="K103" i="9"/>
  <c r="J103" i="9"/>
  <c r="I103" i="9"/>
  <c r="I102" i="9"/>
  <c r="I104" i="9" s="1"/>
  <c r="H99" i="9"/>
  <c r="I96" i="9" s="1"/>
  <c r="G99" i="9"/>
  <c r="F99" i="9"/>
  <c r="E99" i="9"/>
  <c r="M97" i="9"/>
  <c r="L97" i="9"/>
  <c r="K97" i="9"/>
  <c r="J97" i="9"/>
  <c r="I97" i="9"/>
  <c r="F93" i="9"/>
  <c r="H92" i="9"/>
  <c r="G92" i="9"/>
  <c r="G93" i="9" s="1"/>
  <c r="F92" i="9"/>
  <c r="E92" i="9"/>
  <c r="E81" i="9"/>
  <c r="H78" i="9"/>
  <c r="G78" i="9"/>
  <c r="F78" i="9"/>
  <c r="E78" i="9"/>
  <c r="M77" i="9"/>
  <c r="L77" i="9"/>
  <c r="K77" i="9"/>
  <c r="J77" i="9"/>
  <c r="I77" i="9"/>
  <c r="I78" i="9" s="1"/>
  <c r="M76" i="9"/>
  <c r="L76" i="9"/>
  <c r="L78" i="9" s="1"/>
  <c r="K76" i="9"/>
  <c r="J76" i="9"/>
  <c r="I76" i="9"/>
  <c r="M73" i="9"/>
  <c r="L73" i="9"/>
  <c r="H73" i="9"/>
  <c r="G73" i="9"/>
  <c r="F73" i="9"/>
  <c r="E73" i="9"/>
  <c r="M72" i="9"/>
  <c r="L72" i="9"/>
  <c r="K72" i="9"/>
  <c r="K73" i="9" s="1"/>
  <c r="J72" i="9"/>
  <c r="J73" i="9" s="1"/>
  <c r="I72" i="9"/>
  <c r="I73" i="9" s="1"/>
  <c r="H67" i="9"/>
  <c r="G67" i="9"/>
  <c r="F67" i="9"/>
  <c r="E67" i="9"/>
  <c r="H59" i="9"/>
  <c r="H61" i="9" s="1"/>
  <c r="H7" i="9" s="1"/>
  <c r="E59" i="9"/>
  <c r="E61" i="9" s="1"/>
  <c r="E7" i="9" s="1"/>
  <c r="H58" i="9"/>
  <c r="G58" i="9"/>
  <c r="F58" i="9"/>
  <c r="E58" i="9"/>
  <c r="J56" i="9"/>
  <c r="K56" i="9" s="1"/>
  <c r="I56" i="9"/>
  <c r="H54" i="9"/>
  <c r="G54" i="9"/>
  <c r="G59" i="9" s="1"/>
  <c r="G61" i="9" s="1"/>
  <c r="G7" i="9" s="1"/>
  <c r="F54" i="9"/>
  <c r="E54" i="9"/>
  <c r="H49" i="9"/>
  <c r="G49" i="9"/>
  <c r="F49" i="9"/>
  <c r="E49" i="9"/>
  <c r="H36" i="9"/>
  <c r="G36" i="9"/>
  <c r="F36" i="9"/>
  <c r="E36" i="9"/>
  <c r="M33" i="9"/>
  <c r="L33" i="9"/>
  <c r="K33" i="9"/>
  <c r="J33" i="9"/>
  <c r="I33" i="9"/>
  <c r="M32" i="9"/>
  <c r="L32" i="9"/>
  <c r="K32" i="9"/>
  <c r="J32" i="9"/>
  <c r="I32" i="9"/>
  <c r="E30" i="9"/>
  <c r="E37" i="9" s="1"/>
  <c r="L46" i="9"/>
  <c r="L89" i="9" s="1"/>
  <c r="K46" i="9"/>
  <c r="K89" i="9" s="1"/>
  <c r="H24" i="9"/>
  <c r="G24" i="9"/>
  <c r="F24" i="9"/>
  <c r="E24" i="9"/>
  <c r="H23" i="9"/>
  <c r="G23" i="9"/>
  <c r="F23" i="9"/>
  <c r="E23" i="9"/>
  <c r="H22" i="9"/>
  <c r="G22" i="9"/>
  <c r="F22" i="9"/>
  <c r="E22" i="9"/>
  <c r="E21" i="9"/>
  <c r="E20" i="9"/>
  <c r="H19" i="9"/>
  <c r="G19" i="9"/>
  <c r="F19" i="9"/>
  <c r="E19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E12" i="9"/>
  <c r="M14" i="7" l="1"/>
  <c r="J119" i="3"/>
  <c r="M41" i="7" s="1"/>
  <c r="M83" i="7" s="1"/>
  <c r="M84" i="7" s="1"/>
  <c r="Q83" i="7"/>
  <c r="L40" i="16"/>
  <c r="M40" i="16" s="1"/>
  <c r="K119" i="3"/>
  <c r="N41" i="7" s="1"/>
  <c r="N83" i="7" s="1"/>
  <c r="I14" i="7"/>
  <c r="O29" i="3"/>
  <c r="O28" i="3" s="1"/>
  <c r="R17" i="7"/>
  <c r="O36" i="7"/>
  <c r="O82" i="7" s="1"/>
  <c r="O84" i="7" s="1"/>
  <c r="N36" i="7"/>
  <c r="N82" i="7" s="1"/>
  <c r="P36" i="7"/>
  <c r="P82" i="7" s="1"/>
  <c r="P84" i="7" s="1"/>
  <c r="J81" i="16"/>
  <c r="J82" i="16"/>
  <c r="J78" i="16"/>
  <c r="Q82" i="7"/>
  <c r="L35" i="16"/>
  <c r="M35" i="16" s="1"/>
  <c r="Q81" i="7"/>
  <c r="L34" i="16"/>
  <c r="M34" i="16" s="1"/>
  <c r="K84" i="7"/>
  <c r="L84" i="7"/>
  <c r="J84" i="7"/>
  <c r="C78" i="3"/>
  <c r="R19" i="7"/>
  <c r="L18" i="16" s="1"/>
  <c r="M18" i="16" s="1"/>
  <c r="H91" i="11"/>
  <c r="H106" i="11"/>
  <c r="H106" i="7" s="1"/>
  <c r="G106" i="11"/>
  <c r="G106" i="7" s="1"/>
  <c r="N36" i="9"/>
  <c r="N37" i="9" s="1"/>
  <c r="O96" i="9"/>
  <c r="N48" i="9"/>
  <c r="O102" i="9"/>
  <c r="N53" i="9"/>
  <c r="R93" i="9"/>
  <c r="R68" i="9" s="1"/>
  <c r="P93" i="9"/>
  <c r="P68" i="9" s="1"/>
  <c r="O93" i="9"/>
  <c r="O68" i="9" s="1"/>
  <c r="N105" i="9"/>
  <c r="N35" i="9" s="1"/>
  <c r="N67" i="9"/>
  <c r="N54" i="9"/>
  <c r="Q56" i="9"/>
  <c r="J78" i="9"/>
  <c r="K78" i="9"/>
  <c r="M78" i="9"/>
  <c r="H93" i="9"/>
  <c r="F59" i="9"/>
  <c r="F61" i="9" s="1"/>
  <c r="F7" i="9" s="1"/>
  <c r="E17" i="9"/>
  <c r="E40" i="9"/>
  <c r="E66" i="9" s="1"/>
  <c r="E69" i="9" s="1"/>
  <c r="E80" i="9" s="1"/>
  <c r="E82" i="9" s="1"/>
  <c r="E84" i="9" s="1"/>
  <c r="L56" i="9"/>
  <c r="I53" i="9"/>
  <c r="J102" i="9"/>
  <c r="I99" i="9"/>
  <c r="I98" i="9"/>
  <c r="I34" i="9" s="1"/>
  <c r="I67" i="9" s="1"/>
  <c r="M46" i="9"/>
  <c r="M89" i="9" s="1"/>
  <c r="I105" i="9"/>
  <c r="I35" i="9" s="1"/>
  <c r="I36" i="9" s="1"/>
  <c r="I46" i="9"/>
  <c r="I89" i="9" s="1"/>
  <c r="E93" i="9"/>
  <c r="J46" i="9"/>
  <c r="J89" i="9" s="1"/>
  <c r="R14" i="7" l="1"/>
  <c r="L13" i="16" s="1"/>
  <c r="M13" i="16" s="1"/>
  <c r="N84" i="7"/>
  <c r="J58" i="7"/>
  <c r="K58" i="7"/>
  <c r="N58" i="7"/>
  <c r="O58" i="7"/>
  <c r="P58" i="7"/>
  <c r="L58" i="7"/>
  <c r="Q58" i="7"/>
  <c r="M58" i="7"/>
  <c r="I58" i="7"/>
  <c r="Q84" i="7"/>
  <c r="F108" i="11"/>
  <c r="F27" i="7"/>
  <c r="F29" i="7" s="1"/>
  <c r="F42" i="11"/>
  <c r="F29" i="11"/>
  <c r="I88" i="11"/>
  <c r="I91" i="11" s="1"/>
  <c r="J88" i="11" s="1"/>
  <c r="H91" i="7"/>
  <c r="N40" i="9"/>
  <c r="N39" i="9"/>
  <c r="O104" i="9"/>
  <c r="O105" i="9"/>
  <c r="O35" i="9" s="1"/>
  <c r="O98" i="9"/>
  <c r="O34" i="9" s="1"/>
  <c r="R56" i="9"/>
  <c r="J96" i="9"/>
  <c r="I48" i="9"/>
  <c r="J104" i="9"/>
  <c r="J105" i="9"/>
  <c r="J35" i="9" s="1"/>
  <c r="M56" i="9"/>
  <c r="O16" i="3"/>
  <c r="O15" i="3" s="1"/>
  <c r="R58" i="7" l="1"/>
  <c r="L55" i="16" s="1"/>
  <c r="M55" i="16" s="1"/>
  <c r="F57" i="11"/>
  <c r="F42" i="7"/>
  <c r="F57" i="7" s="1"/>
  <c r="G42" i="11"/>
  <c r="G27" i="7"/>
  <c r="G29" i="7" s="1"/>
  <c r="G108" i="11"/>
  <c r="G29" i="11"/>
  <c r="I106" i="11"/>
  <c r="H37" i="7"/>
  <c r="J91" i="11"/>
  <c r="K88" i="11" s="1"/>
  <c r="J106" i="11"/>
  <c r="J106" i="7" s="1"/>
  <c r="I81" i="7"/>
  <c r="P102" i="9"/>
  <c r="O53" i="9"/>
  <c r="O54" i="9" s="1"/>
  <c r="N66" i="9"/>
  <c r="N69" i="9" s="1"/>
  <c r="N80" i="9" s="1"/>
  <c r="N82" i="9" s="1"/>
  <c r="N57" i="9"/>
  <c r="O36" i="9"/>
  <c r="O37" i="9" s="1"/>
  <c r="O67" i="9"/>
  <c r="O99" i="9"/>
  <c r="J98" i="9"/>
  <c r="J34" i="9" s="1"/>
  <c r="J53" i="9"/>
  <c r="K102" i="9"/>
  <c r="I106" i="7" l="1"/>
  <c r="H42" i="11"/>
  <c r="G57" i="11"/>
  <c r="G42" i="7"/>
  <c r="G57" i="7" s="1"/>
  <c r="H108" i="11"/>
  <c r="H29" i="11"/>
  <c r="H27" i="7"/>
  <c r="H29" i="7" s="1"/>
  <c r="K91" i="11"/>
  <c r="L88" i="11" s="1"/>
  <c r="K106" i="11"/>
  <c r="K106" i="7" s="1"/>
  <c r="R13" i="7"/>
  <c r="L12" i="16" s="1"/>
  <c r="M12" i="16" s="1"/>
  <c r="O39" i="9"/>
  <c r="O40" i="9" s="1"/>
  <c r="N58" i="9"/>
  <c r="N59" i="9" s="1"/>
  <c r="O81" i="9"/>
  <c r="N45" i="9"/>
  <c r="N49" i="9" s="1"/>
  <c r="P104" i="9"/>
  <c r="P105" i="9"/>
  <c r="P35" i="9" s="1"/>
  <c r="P96" i="9"/>
  <c r="O48" i="9"/>
  <c r="K105" i="9"/>
  <c r="K35" i="9" s="1"/>
  <c r="K104" i="9"/>
  <c r="J36" i="9"/>
  <c r="J67" i="9"/>
  <c r="J99" i="9"/>
  <c r="I42" i="11" l="1"/>
  <c r="I29" i="11"/>
  <c r="I108" i="11"/>
  <c r="H42" i="7"/>
  <c r="H57" i="7" s="1"/>
  <c r="H57" i="11"/>
  <c r="L91" i="11"/>
  <c r="M88" i="11" s="1"/>
  <c r="L106" i="11"/>
  <c r="L106" i="7" s="1"/>
  <c r="I88" i="7"/>
  <c r="O66" i="9"/>
  <c r="O69" i="9" s="1"/>
  <c r="O80" i="9" s="1"/>
  <c r="O82" i="9" s="1"/>
  <c r="O57" i="9"/>
  <c r="N84" i="9"/>
  <c r="N61" i="9"/>
  <c r="P98" i="9"/>
  <c r="P34" i="9" s="1"/>
  <c r="Q102" i="9"/>
  <c r="P53" i="9"/>
  <c r="P54" i="9" s="1"/>
  <c r="J48" i="9"/>
  <c r="K96" i="9"/>
  <c r="L102" i="9"/>
  <c r="K53" i="9"/>
  <c r="I70" i="7"/>
  <c r="J70" i="7"/>
  <c r="K70" i="7"/>
  <c r="L70" i="7"/>
  <c r="M70" i="7"/>
  <c r="I57" i="11" l="1"/>
  <c r="J42" i="11"/>
  <c r="J29" i="11"/>
  <c r="J108" i="11"/>
  <c r="M91" i="11"/>
  <c r="N88" i="11" s="1"/>
  <c r="M106" i="11"/>
  <c r="M106" i="7" s="1"/>
  <c r="Q105" i="9"/>
  <c r="Q35" i="9" s="1"/>
  <c r="Q104" i="9"/>
  <c r="P67" i="9"/>
  <c r="P36" i="9"/>
  <c r="P37" i="9" s="1"/>
  <c r="O58" i="9"/>
  <c r="O59" i="9" s="1"/>
  <c r="O61" i="9" s="1"/>
  <c r="P99" i="9"/>
  <c r="P81" i="9"/>
  <c r="O45" i="9"/>
  <c r="O49" i="9" s="1"/>
  <c r="L105" i="9"/>
  <c r="L35" i="9" s="1"/>
  <c r="L104" i="9"/>
  <c r="K98" i="9"/>
  <c r="K34" i="9" s="1"/>
  <c r="K29" i="11" l="1"/>
  <c r="K108" i="11"/>
  <c r="K42" i="11"/>
  <c r="J57" i="11"/>
  <c r="N91" i="11"/>
  <c r="O88" i="11" s="1"/>
  <c r="N106" i="11"/>
  <c r="N106" i="7" s="1"/>
  <c r="Q96" i="9"/>
  <c r="P48" i="9"/>
  <c r="P39" i="9"/>
  <c r="P40" i="9" s="1"/>
  <c r="Q53" i="9"/>
  <c r="Q54" i="9" s="1"/>
  <c r="R102" i="9"/>
  <c r="O84" i="9"/>
  <c r="K67" i="9"/>
  <c r="K36" i="9"/>
  <c r="L53" i="9"/>
  <c r="M102" i="9"/>
  <c r="K99" i="9"/>
  <c r="L29" i="11" l="1"/>
  <c r="L108" i="11"/>
  <c r="K57" i="11"/>
  <c r="L42" i="11"/>
  <c r="O91" i="11"/>
  <c r="P88" i="11" s="1"/>
  <c r="O106" i="11"/>
  <c r="O106" i="7" s="1"/>
  <c r="P66" i="9"/>
  <c r="P69" i="9" s="1"/>
  <c r="P80" i="9" s="1"/>
  <c r="P82" i="9" s="1"/>
  <c r="P57" i="9"/>
  <c r="R105" i="9"/>
  <c r="R35" i="9" s="1"/>
  <c r="R104" i="9"/>
  <c r="R53" i="9" s="1"/>
  <c r="R54" i="9" s="1"/>
  <c r="Q98" i="9"/>
  <c r="Q34" i="9" s="1"/>
  <c r="L96" i="9"/>
  <c r="K48" i="9"/>
  <c r="M105" i="9"/>
  <c r="M35" i="9" s="1"/>
  <c r="M104" i="9"/>
  <c r="M53" i="9" s="1"/>
  <c r="L57" i="11" l="1"/>
  <c r="M42" i="11"/>
  <c r="M108" i="11"/>
  <c r="M29" i="11"/>
  <c r="P91" i="11"/>
  <c r="Q88" i="11" s="1"/>
  <c r="P106" i="11"/>
  <c r="P106" i="7" s="1"/>
  <c r="Q67" i="9"/>
  <c r="Q36" i="9"/>
  <c r="Q37" i="9" s="1"/>
  <c r="P58" i="9"/>
  <c r="P59" i="9" s="1"/>
  <c r="Q99" i="9"/>
  <c r="P45" i="9"/>
  <c r="P49" i="9" s="1"/>
  <c r="Q81" i="9"/>
  <c r="P84" i="9"/>
  <c r="L98" i="9"/>
  <c r="L34" i="9" s="1"/>
  <c r="M57" i="11" l="1"/>
  <c r="N42" i="11"/>
  <c r="N108" i="11"/>
  <c r="N29" i="11"/>
  <c r="Q91" i="11"/>
  <c r="K36" i="16" s="1"/>
  <c r="Q106" i="11"/>
  <c r="C61" i="3" s="1"/>
  <c r="P61" i="9"/>
  <c r="Q48" i="9"/>
  <c r="R96" i="9"/>
  <c r="Q39" i="9"/>
  <c r="Q40" i="9" s="1"/>
  <c r="L67" i="9"/>
  <c r="L36" i="9"/>
  <c r="L99" i="9"/>
  <c r="L68" i="3" l="1"/>
  <c r="M68" i="3"/>
  <c r="N68" i="3"/>
  <c r="K68" i="3"/>
  <c r="F68" i="3"/>
  <c r="H68" i="3"/>
  <c r="G68" i="3"/>
  <c r="I68" i="3"/>
  <c r="J68" i="3"/>
  <c r="O108" i="11"/>
  <c r="O29" i="11"/>
  <c r="N57" i="11"/>
  <c r="O42" i="11"/>
  <c r="Q106" i="7"/>
  <c r="Q66" i="9"/>
  <c r="Q69" i="9" s="1"/>
  <c r="Q80" i="9" s="1"/>
  <c r="Q82" i="9" s="1"/>
  <c r="Q57" i="9"/>
  <c r="R98" i="9"/>
  <c r="R34" i="9" s="1"/>
  <c r="L48" i="9"/>
  <c r="M96" i="9"/>
  <c r="P42" i="11" l="1"/>
  <c r="O57" i="11"/>
  <c r="P29" i="11"/>
  <c r="P108" i="11"/>
  <c r="R81" i="9"/>
  <c r="Q45" i="9"/>
  <c r="Q49" i="9" s="1"/>
  <c r="R99" i="9"/>
  <c r="R48" i="9" s="1"/>
  <c r="R67" i="9"/>
  <c r="R36" i="9"/>
  <c r="Q58" i="9"/>
  <c r="Q59" i="9" s="1"/>
  <c r="Q61" i="9" s="1"/>
  <c r="M99" i="9"/>
  <c r="M48" i="9" s="1"/>
  <c r="M98" i="9"/>
  <c r="M34" i="9" s="1"/>
  <c r="R27" i="11" l="1"/>
  <c r="Q29" i="11"/>
  <c r="Q108" i="11"/>
  <c r="P57" i="11"/>
  <c r="Q42" i="11"/>
  <c r="G69" i="3"/>
  <c r="F69" i="3"/>
  <c r="F70" i="3" s="1"/>
  <c r="H69" i="3"/>
  <c r="I69" i="3"/>
  <c r="K69" i="3"/>
  <c r="L69" i="3"/>
  <c r="J69" i="3"/>
  <c r="M69" i="3"/>
  <c r="N69" i="3"/>
  <c r="Q84" i="9"/>
  <c r="M67" i="9"/>
  <c r="M36" i="9"/>
  <c r="Q57" i="11" l="1"/>
  <c r="R57" i="11" s="1"/>
  <c r="K54" i="16" s="1"/>
  <c r="K41" i="16"/>
  <c r="R29" i="11"/>
  <c r="K28" i="16" s="1"/>
  <c r="K26" i="16"/>
  <c r="H70" i="3"/>
  <c r="K23" i="7" s="1"/>
  <c r="K90" i="7" s="1"/>
  <c r="J70" i="3"/>
  <c r="M23" i="7" s="1"/>
  <c r="M90" i="7" s="1"/>
  <c r="N70" i="3"/>
  <c r="Q23" i="7" s="1"/>
  <c r="Q90" i="7" s="1"/>
  <c r="G70" i="3"/>
  <c r="J23" i="7" s="1"/>
  <c r="M70" i="3"/>
  <c r="P23" i="7" s="1"/>
  <c r="P90" i="7" s="1"/>
  <c r="L70" i="3"/>
  <c r="O23" i="7" s="1"/>
  <c r="O90" i="7" s="1"/>
  <c r="K70" i="3"/>
  <c r="N23" i="7" s="1"/>
  <c r="N90" i="7" s="1"/>
  <c r="I70" i="3"/>
  <c r="L23" i="7" s="1"/>
  <c r="L90" i="7" s="1"/>
  <c r="I23" i="7"/>
  <c r="K78" i="16" l="1"/>
  <c r="J90" i="7"/>
  <c r="J56" i="7"/>
  <c r="I56" i="7"/>
  <c r="R23" i="7"/>
  <c r="L22" i="16" s="1"/>
  <c r="M22" i="16" s="1"/>
  <c r="I90" i="7"/>
  <c r="I91" i="7" s="1"/>
  <c r="J88" i="7" s="1"/>
  <c r="J91" i="7" l="1"/>
  <c r="K88" i="7" s="1"/>
  <c r="K91" i="7" s="1"/>
  <c r="K37" i="7" s="1"/>
  <c r="I37" i="7"/>
  <c r="K56" i="7"/>
  <c r="L88" i="7" l="1"/>
  <c r="L91" i="7" s="1"/>
  <c r="L37" i="7" s="1"/>
  <c r="J37" i="7"/>
  <c r="M88" i="7" l="1"/>
  <c r="M91" i="7" s="1"/>
  <c r="M37" i="7" s="1"/>
  <c r="L56" i="7"/>
  <c r="N88" i="7" l="1"/>
  <c r="N91" i="7" s="1"/>
  <c r="N37" i="7" s="1"/>
  <c r="M56" i="7" l="1"/>
  <c r="O88" i="7" l="1"/>
  <c r="O91" i="7" s="1"/>
  <c r="O37" i="7" s="1"/>
  <c r="N56" i="7" l="1"/>
  <c r="P88" i="7" l="1"/>
  <c r="P91" i="7" s="1"/>
  <c r="P37" i="7" s="1"/>
  <c r="O56" i="7" l="1"/>
  <c r="F30" i="9"/>
  <c r="F37" i="9" s="1"/>
  <c r="F12" i="9"/>
  <c r="F21" i="9"/>
  <c r="F20" i="9"/>
  <c r="Q88" i="7" l="1"/>
  <c r="Q91" i="7" s="1"/>
  <c r="Q37" i="7" s="1"/>
  <c r="F40" i="9"/>
  <c r="F66" i="9" s="1"/>
  <c r="F69" i="9" s="1"/>
  <c r="F80" i="9" s="1"/>
  <c r="F82" i="9" s="1"/>
  <c r="F84" i="9" s="1"/>
  <c r="F17" i="9"/>
  <c r="O30" i="9"/>
  <c r="P30" i="9"/>
  <c r="R30" i="9"/>
  <c r="R37" i="9" s="1"/>
  <c r="K47" i="9"/>
  <c r="K90" i="9" s="1"/>
  <c r="I91" i="9"/>
  <c r="K52" i="9"/>
  <c r="K91" i="9" s="1"/>
  <c r="G30" i="9"/>
  <c r="G37" i="9" s="1"/>
  <c r="H21" i="9"/>
  <c r="H12" i="9"/>
  <c r="H20" i="9"/>
  <c r="I47" i="9"/>
  <c r="I90" i="9" s="1"/>
  <c r="M47" i="9"/>
  <c r="M90" i="9"/>
  <c r="J47" i="9"/>
  <c r="J90" i="9" s="1"/>
  <c r="J92" i="9" s="1"/>
  <c r="L47" i="9"/>
  <c r="L90" i="9" s="1"/>
  <c r="I52" i="9"/>
  <c r="I54" i="9" s="1"/>
  <c r="J52" i="9"/>
  <c r="J91" i="9" s="1"/>
  <c r="L52" i="9"/>
  <c r="L54" i="9" s="1"/>
  <c r="Q30" i="9"/>
  <c r="N30" i="9"/>
  <c r="H30" i="9"/>
  <c r="H37" i="9" s="1"/>
  <c r="I30" i="9"/>
  <c r="I37" i="9" s="1"/>
  <c r="I39" i="9" s="1"/>
  <c r="J30" i="9"/>
  <c r="J37" i="9" s="1"/>
  <c r="J39" i="9" s="1"/>
  <c r="J40" i="9" s="1"/>
  <c r="J66" i="9" s="1"/>
  <c r="K30" i="9"/>
  <c r="K37" i="9" s="1"/>
  <c r="K39" i="9" s="1"/>
  <c r="L30" i="9"/>
  <c r="L37" i="9" s="1"/>
  <c r="M52" i="9"/>
  <c r="M91" i="9" s="1"/>
  <c r="M54" i="9"/>
  <c r="G12" i="9"/>
  <c r="G21" i="9"/>
  <c r="G20" i="9"/>
  <c r="M30" i="9"/>
  <c r="M37" i="9" s="1"/>
  <c r="M39" i="9" s="1"/>
  <c r="P56" i="7" l="1"/>
  <c r="L36" i="16"/>
  <c r="M36" i="16" s="1"/>
  <c r="R39" i="9"/>
  <c r="R40" i="9" s="1"/>
  <c r="I92" i="9"/>
  <c r="I93" i="9" s="1"/>
  <c r="I68" i="9" s="1"/>
  <c r="J93" i="9"/>
  <c r="J68" i="9" s="1"/>
  <c r="K92" i="9"/>
  <c r="K93" i="9" s="1"/>
  <c r="K68" i="9" s="1"/>
  <c r="H17" i="9"/>
  <c r="H40" i="9"/>
  <c r="H66" i="9" s="1"/>
  <c r="H69" i="9" s="1"/>
  <c r="H80" i="9" s="1"/>
  <c r="H82" i="9" s="1"/>
  <c r="M92" i="9"/>
  <c r="L39" i="9"/>
  <c r="L40" i="9" s="1"/>
  <c r="L66" i="9" s="1"/>
  <c r="J69" i="9"/>
  <c r="J80" i="9" s="1"/>
  <c r="G40" i="9"/>
  <c r="G66" i="9" s="1"/>
  <c r="G69" i="9" s="1"/>
  <c r="G80" i="9" s="1"/>
  <c r="G82" i="9" s="1"/>
  <c r="G84" i="9" s="1"/>
  <c r="G17" i="9"/>
  <c r="M40" i="9"/>
  <c r="M66" i="9" s="1"/>
  <c r="I82" i="7"/>
  <c r="I40" i="9"/>
  <c r="K54" i="9"/>
  <c r="L91" i="9"/>
  <c r="L92" i="9" s="1"/>
  <c r="L93" i="9" s="1"/>
  <c r="L68" i="9" s="1"/>
  <c r="K40" i="9"/>
  <c r="K66" i="9" s="1"/>
  <c r="J54" i="9"/>
  <c r="Q56" i="7" l="1"/>
  <c r="R56" i="7" s="1"/>
  <c r="L53" i="16" s="1"/>
  <c r="M53" i="16" s="1"/>
  <c r="P16" i="7"/>
  <c r="P22" i="7" s="1"/>
  <c r="Q16" i="7"/>
  <c r="Q22" i="7" s="1"/>
  <c r="N16" i="7"/>
  <c r="N22" i="7" s="1"/>
  <c r="O16" i="7"/>
  <c r="O22" i="7" s="1"/>
  <c r="R66" i="9"/>
  <c r="R69" i="9" s="1"/>
  <c r="R80" i="9" s="1"/>
  <c r="R82" i="9" s="1"/>
  <c r="R57" i="9"/>
  <c r="R58" i="9" s="1"/>
  <c r="R59" i="9" s="1"/>
  <c r="L69" i="9"/>
  <c r="L80" i="9" s="1"/>
  <c r="K69" i="9"/>
  <c r="K80" i="9" s="1"/>
  <c r="J16" i="7"/>
  <c r="J22" i="7" s="1"/>
  <c r="K16" i="7"/>
  <c r="K22" i="7" s="1"/>
  <c r="M16" i="7"/>
  <c r="M22" i="7" s="1"/>
  <c r="I83" i="7"/>
  <c r="I84" i="7" s="1"/>
  <c r="I16" i="7"/>
  <c r="L16" i="7"/>
  <c r="L22" i="7" s="1"/>
  <c r="I66" i="9"/>
  <c r="I69" i="9" s="1"/>
  <c r="I80" i="9" s="1"/>
  <c r="I57" i="9"/>
  <c r="M93" i="9"/>
  <c r="M68" i="9" s="1"/>
  <c r="M69" i="9" s="1"/>
  <c r="M80" i="9" s="1"/>
  <c r="H84" i="9"/>
  <c r="I81" i="9"/>
  <c r="L25" i="7" l="1"/>
  <c r="L103" i="7"/>
  <c r="K25" i="7"/>
  <c r="K103" i="7"/>
  <c r="O25" i="7"/>
  <c r="O103" i="7"/>
  <c r="N25" i="7"/>
  <c r="N103" i="7"/>
  <c r="J25" i="7"/>
  <c r="J103" i="7"/>
  <c r="M25" i="7"/>
  <c r="M103" i="7"/>
  <c r="Q25" i="7"/>
  <c r="Q103" i="7"/>
  <c r="P25" i="7"/>
  <c r="P103" i="7"/>
  <c r="I85" i="7"/>
  <c r="I22" i="7"/>
  <c r="R16" i="7"/>
  <c r="L15" i="16" s="1"/>
  <c r="M15" i="16" s="1"/>
  <c r="R84" i="9"/>
  <c r="R45" i="9"/>
  <c r="R49" i="9" s="1"/>
  <c r="R61" i="9" s="1"/>
  <c r="J57" i="9"/>
  <c r="I58" i="9"/>
  <c r="I59" i="9" s="1"/>
  <c r="I82" i="9"/>
  <c r="L75" i="16" l="1"/>
  <c r="M75" i="16" s="1"/>
  <c r="I25" i="7"/>
  <c r="R25" i="7" s="1"/>
  <c r="L24" i="16" s="1"/>
  <c r="M24" i="16" s="1"/>
  <c r="I103" i="7"/>
  <c r="R22" i="7"/>
  <c r="L21" i="16" s="1"/>
  <c r="M21" i="16" s="1"/>
  <c r="J81" i="9"/>
  <c r="J82" i="9" s="1"/>
  <c r="I45" i="9"/>
  <c r="I49" i="9" s="1"/>
  <c r="I61" i="9" s="1"/>
  <c r="I7" i="9" s="1"/>
  <c r="K57" i="9"/>
  <c r="J58" i="9"/>
  <c r="J59" i="9" s="1"/>
  <c r="L76" i="16" l="1"/>
  <c r="M76" i="16" s="1"/>
  <c r="L77" i="16"/>
  <c r="M77" i="16" s="1"/>
  <c r="I84" i="9"/>
  <c r="K81" i="9"/>
  <c r="K82" i="9" s="1"/>
  <c r="J45" i="9"/>
  <c r="J49" i="9" s="1"/>
  <c r="J61" i="9" s="1"/>
  <c r="J7" i="9" s="1"/>
  <c r="K58" i="9"/>
  <c r="K59" i="9" s="1"/>
  <c r="L57" i="9"/>
  <c r="L58" i="9" l="1"/>
  <c r="L59" i="9" s="1"/>
  <c r="M57" i="9"/>
  <c r="M58" i="9" s="1"/>
  <c r="M59" i="9" s="1"/>
  <c r="L81" i="9"/>
  <c r="L82" i="9" s="1"/>
  <c r="K45" i="9"/>
  <c r="K49" i="9" s="1"/>
  <c r="K61" i="9" s="1"/>
  <c r="K7" i="9" s="1"/>
  <c r="J84" i="9"/>
  <c r="M81" i="9" l="1"/>
  <c r="M82" i="9" s="1"/>
  <c r="L45" i="9"/>
  <c r="L49" i="9" s="1"/>
  <c r="L61" i="9" s="1"/>
  <c r="L7" i="9" s="1"/>
  <c r="K84" i="9"/>
  <c r="L84" i="9" l="1"/>
  <c r="M45" i="9"/>
  <c r="M49" i="9" s="1"/>
  <c r="M61" i="9" s="1"/>
  <c r="M7" i="9" s="1"/>
  <c r="M84" i="9" l="1"/>
  <c r="E44" i="11" l="1"/>
  <c r="J43" i="16" s="1"/>
  <c r="E96" i="11"/>
  <c r="E96" i="7" s="1"/>
  <c r="F107" i="11"/>
  <c r="F95" i="11"/>
  <c r="F70" i="11"/>
  <c r="F107" i="7" l="1"/>
  <c r="F70" i="7"/>
  <c r="E48" i="11"/>
  <c r="J47" i="16" s="1"/>
  <c r="E44" i="7"/>
  <c r="E94" i="11"/>
  <c r="E94" i="7" s="1"/>
  <c r="F94" i="11"/>
  <c r="F94" i="7" s="1"/>
  <c r="E50" i="11" l="1"/>
  <c r="E48" i="7"/>
  <c r="Q95" i="11"/>
  <c r="Q70" i="11"/>
  <c r="P95" i="11"/>
  <c r="P70" i="11"/>
  <c r="O95" i="11"/>
  <c r="O70" i="11"/>
  <c r="N95" i="11"/>
  <c r="N70" i="11"/>
  <c r="M95" i="11"/>
  <c r="M70" i="11"/>
  <c r="L95" i="11"/>
  <c r="L70" i="11"/>
  <c r="K95" i="11"/>
  <c r="K70" i="11"/>
  <c r="J95" i="11"/>
  <c r="J70" i="11"/>
  <c r="I95" i="11"/>
  <c r="I70" i="11"/>
  <c r="H70" i="11"/>
  <c r="H70" i="7" s="1"/>
  <c r="G70" i="11"/>
  <c r="G70" i="7" s="1"/>
  <c r="H95" i="11"/>
  <c r="G95" i="11"/>
  <c r="E10" i="11" l="1"/>
  <c r="E50" i="7"/>
  <c r="E10" i="7" s="1"/>
  <c r="G107" i="11" l="1"/>
  <c r="G107" i="7" s="1"/>
  <c r="F44" i="11"/>
  <c r="F96" i="11"/>
  <c r="O44" i="11"/>
  <c r="Q44" i="11"/>
  <c r="K43" i="16" s="1"/>
  <c r="Q96" i="11"/>
  <c r="I44" i="11"/>
  <c r="K44" i="11"/>
  <c r="J107" i="11"/>
  <c r="J107" i="7" s="1"/>
  <c r="L44" i="11"/>
  <c r="J44" i="11"/>
  <c r="G44" i="11"/>
  <c r="I96" i="11"/>
  <c r="J94" i="11" s="1"/>
  <c r="H44" i="11"/>
  <c r="G96" i="11"/>
  <c r="H107" i="11"/>
  <c r="C128" i="3" s="1"/>
  <c r="Q107" i="11"/>
  <c r="Q107" i="7" s="1"/>
  <c r="L107" i="11"/>
  <c r="L107" i="7" s="1"/>
  <c r="K96" i="11"/>
  <c r="L94" i="11" s="1"/>
  <c r="O107" i="11"/>
  <c r="O107" i="7" s="1"/>
  <c r="N107" i="11"/>
  <c r="N107" i="7" s="1"/>
  <c r="H96" i="11"/>
  <c r="I107" i="11"/>
  <c r="I107" i="7" s="1"/>
  <c r="O96" i="11"/>
  <c r="P94" i="11" s="1"/>
  <c r="P107" i="11"/>
  <c r="P107" i="7" s="1"/>
  <c r="M96" i="11"/>
  <c r="N94" i="11" s="1"/>
  <c r="M44" i="11"/>
  <c r="J96" i="11"/>
  <c r="K94" i="11" s="1"/>
  <c r="K107" i="11"/>
  <c r="K107" i="7" s="1"/>
  <c r="N96" i="11"/>
  <c r="O94" i="11" s="1"/>
  <c r="N44" i="11"/>
  <c r="L96" i="11"/>
  <c r="M94" i="11" s="1"/>
  <c r="M107" i="11"/>
  <c r="M107" i="7" s="1"/>
  <c r="P96" i="11"/>
  <c r="Q94" i="11" s="1"/>
  <c r="P44" i="11"/>
  <c r="F139" i="3" l="1"/>
  <c r="G139" i="3"/>
  <c r="M139" i="3"/>
  <c r="L139" i="3"/>
  <c r="H139" i="3"/>
  <c r="J139" i="3"/>
  <c r="I139" i="3"/>
  <c r="N139" i="3"/>
  <c r="K139" i="3"/>
  <c r="H107" i="7"/>
  <c r="I94" i="11"/>
  <c r="H96" i="7"/>
  <c r="I94" i="7" s="1"/>
  <c r="H44" i="7"/>
  <c r="G44" i="7"/>
  <c r="G94" i="11"/>
  <c r="G94" i="7" s="1"/>
  <c r="F96" i="7"/>
  <c r="F44" i="7"/>
  <c r="H94" i="11"/>
  <c r="H94" i="7" s="1"/>
  <c r="G96" i="7"/>
  <c r="I26" i="7" l="1"/>
  <c r="I43" i="7"/>
  <c r="J26" i="7" l="1"/>
  <c r="I97" i="7"/>
  <c r="I27" i="7"/>
  <c r="I42" i="7" s="1"/>
  <c r="J43" i="7"/>
  <c r="I29" i="7" l="1"/>
  <c r="J97" i="7"/>
  <c r="J27" i="7"/>
  <c r="J29" i="7" s="1"/>
  <c r="J55" i="7" s="1"/>
  <c r="I57" i="7"/>
  <c r="K26" i="7"/>
  <c r="I44" i="7"/>
  <c r="J42" i="7" l="1"/>
  <c r="J57" i="7" s="1"/>
  <c r="L26" i="7"/>
  <c r="K97" i="7"/>
  <c r="K27" i="7"/>
  <c r="K29" i="7" s="1"/>
  <c r="J85" i="7"/>
  <c r="J59" i="7" s="1"/>
  <c r="I59" i="7"/>
  <c r="I55" i="7"/>
  <c r="K43" i="7"/>
  <c r="J44" i="7" l="1"/>
  <c r="K42" i="7"/>
  <c r="K44" i="7" s="1"/>
  <c r="J60" i="7"/>
  <c r="J72" i="7" s="1"/>
  <c r="I60" i="7"/>
  <c r="I72" i="7" s="1"/>
  <c r="M26" i="7"/>
  <c r="K55" i="7"/>
  <c r="L97" i="7"/>
  <c r="L27" i="7"/>
  <c r="L29" i="7" s="1"/>
  <c r="L43" i="7"/>
  <c r="K57" i="7" l="1"/>
  <c r="L42" i="7"/>
  <c r="L57" i="7" s="1"/>
  <c r="N26" i="7"/>
  <c r="M97" i="7"/>
  <c r="M27" i="7"/>
  <c r="M29" i="7" s="1"/>
  <c r="K85" i="7"/>
  <c r="K59" i="7" s="1"/>
  <c r="K60" i="7" l="1"/>
  <c r="K72" i="7" s="1"/>
  <c r="M42" i="7"/>
  <c r="M57" i="7" s="1"/>
  <c r="N97" i="7"/>
  <c r="N27" i="7"/>
  <c r="O26" i="7"/>
  <c r="L85" i="7"/>
  <c r="L59" i="7" s="1"/>
  <c r="L44" i="7"/>
  <c r="L55" i="7"/>
  <c r="M43" i="7"/>
  <c r="M55" i="7" s="1"/>
  <c r="N42" i="7" l="1"/>
  <c r="N57" i="7" s="1"/>
  <c r="N29" i="7"/>
  <c r="L60" i="7"/>
  <c r="L72" i="7" s="1"/>
  <c r="Q26" i="7"/>
  <c r="P26" i="7"/>
  <c r="O97" i="7"/>
  <c r="O27" i="7"/>
  <c r="O29" i="7" s="1"/>
  <c r="N44" i="7" l="1"/>
  <c r="O42" i="7"/>
  <c r="O57" i="7" s="1"/>
  <c r="P97" i="7"/>
  <c r="P27" i="7"/>
  <c r="P29" i="7" s="1"/>
  <c r="Q97" i="7"/>
  <c r="Q27" i="7"/>
  <c r="R26" i="7"/>
  <c r="L25" i="16" s="1"/>
  <c r="M25" i="16" s="1"/>
  <c r="M85" i="7"/>
  <c r="M59" i="7" s="1"/>
  <c r="M60" i="7" s="1"/>
  <c r="M72" i="7" s="1"/>
  <c r="M44" i="7"/>
  <c r="P42" i="7" l="1"/>
  <c r="O44" i="7"/>
  <c r="Q29" i="7"/>
  <c r="R27" i="7"/>
  <c r="P44" i="7" l="1"/>
  <c r="Q42" i="7"/>
  <c r="Q44" i="7" s="1"/>
  <c r="P57" i="7"/>
  <c r="R29" i="7"/>
  <c r="L28" i="16" s="1"/>
  <c r="L26" i="16"/>
  <c r="M26" i="16" s="1"/>
  <c r="N85" i="7"/>
  <c r="N59" i="7" s="1"/>
  <c r="O55" i="7"/>
  <c r="L41" i="16" l="1"/>
  <c r="M41" i="16" s="1"/>
  <c r="Q57" i="7"/>
  <c r="R57" i="7" s="1"/>
  <c r="L54" i="16" s="1"/>
  <c r="M54" i="16" s="1"/>
  <c r="M28" i="16"/>
  <c r="L78" i="16"/>
  <c r="M78" i="16" s="1"/>
  <c r="N55" i="7"/>
  <c r="N60" i="7" l="1"/>
  <c r="N72" i="7" s="1"/>
  <c r="O85" i="7"/>
  <c r="O59" i="7" s="1"/>
  <c r="O60" i="7" s="1"/>
  <c r="O72" i="7" s="1"/>
  <c r="P55" i="7"/>
  <c r="L42" i="16" l="1"/>
  <c r="M42" i="16" s="1"/>
  <c r="P85" i="7" l="1"/>
  <c r="P59" i="7" s="1"/>
  <c r="P60" i="7" s="1"/>
  <c r="P72" i="7" s="1"/>
  <c r="Q85" i="7" l="1"/>
  <c r="L43" i="16"/>
  <c r="M43" i="16" s="1"/>
  <c r="Q55" i="7"/>
  <c r="Q59" i="7" l="1"/>
  <c r="M55" i="11"/>
  <c r="F46" i="11"/>
  <c r="F108" i="7"/>
  <c r="O108" i="7"/>
  <c r="N108" i="7"/>
  <c r="M108" i="7"/>
  <c r="L55" i="11"/>
  <c r="L108" i="7"/>
  <c r="K55" i="11"/>
  <c r="K108" i="7"/>
  <c r="J108" i="7"/>
  <c r="Q55" i="11"/>
  <c r="Q108" i="7"/>
  <c r="I55" i="11"/>
  <c r="I60" i="11" s="1"/>
  <c r="I72" i="11" s="1"/>
  <c r="P108" i="7"/>
  <c r="Q60" i="11" l="1"/>
  <c r="Q72" i="11" s="1"/>
  <c r="K60" i="11"/>
  <c r="K72" i="11" s="1"/>
  <c r="M60" i="11"/>
  <c r="M72" i="11" s="1"/>
  <c r="L60" i="11"/>
  <c r="L72" i="11" s="1"/>
  <c r="Q60" i="7"/>
  <c r="Q72" i="7" s="1"/>
  <c r="H55" i="11"/>
  <c r="H60" i="11" s="1"/>
  <c r="H72" i="11" s="1"/>
  <c r="E55" i="11"/>
  <c r="J52" i="16" s="1"/>
  <c r="G55" i="11"/>
  <c r="F46" i="7"/>
  <c r="F47" i="11"/>
  <c r="G46" i="11"/>
  <c r="I108" i="7"/>
  <c r="N55" i="11"/>
  <c r="G108" i="7"/>
  <c r="O55" i="11"/>
  <c r="P55" i="11"/>
  <c r="E108" i="7"/>
  <c r="F55" i="11"/>
  <c r="J55" i="11"/>
  <c r="H108" i="7"/>
  <c r="R55" i="11" l="1"/>
  <c r="P60" i="11"/>
  <c r="P72" i="11" s="1"/>
  <c r="N60" i="11"/>
  <c r="N72" i="11" s="1"/>
  <c r="O60" i="11"/>
  <c r="O72" i="11" s="1"/>
  <c r="J60" i="11"/>
  <c r="J72" i="11" s="1"/>
  <c r="G55" i="7"/>
  <c r="F55" i="7"/>
  <c r="G47" i="11"/>
  <c r="H46" i="11"/>
  <c r="G46" i="7"/>
  <c r="F48" i="11"/>
  <c r="F47" i="7"/>
  <c r="E60" i="11"/>
  <c r="E55" i="7"/>
  <c r="H55" i="7"/>
  <c r="R55" i="7" l="1"/>
  <c r="L52" i="16" s="1"/>
  <c r="K52" i="16"/>
  <c r="E60" i="7"/>
  <c r="J57" i="16"/>
  <c r="F48" i="7"/>
  <c r="H47" i="11"/>
  <c r="I46" i="11"/>
  <c r="H46" i="7"/>
  <c r="I46" i="7" s="1"/>
  <c r="G47" i="7"/>
  <c r="G48" i="11"/>
  <c r="H60" i="7"/>
  <c r="H72" i="7" s="1"/>
  <c r="M52" i="16" l="1"/>
  <c r="O84" i="3"/>
  <c r="G48" i="7"/>
  <c r="H48" i="11"/>
  <c r="H47" i="7"/>
  <c r="J46" i="7"/>
  <c r="I47" i="7"/>
  <c r="I48" i="7" s="1"/>
  <c r="J46" i="11"/>
  <c r="I47" i="11"/>
  <c r="I48" i="11" s="1"/>
  <c r="H48" i="7" l="1"/>
  <c r="J47" i="7"/>
  <c r="J48" i="7" s="1"/>
  <c r="K46" i="7"/>
  <c r="J47" i="11"/>
  <c r="J48" i="11" s="1"/>
  <c r="K46" i="11"/>
  <c r="L46" i="7" l="1"/>
  <c r="K47" i="7"/>
  <c r="K48" i="7" s="1"/>
  <c r="L46" i="11"/>
  <c r="K47" i="11"/>
  <c r="K48" i="11" s="1"/>
  <c r="M46" i="7" l="1"/>
  <c r="N46" i="7" s="1"/>
  <c r="L47" i="7"/>
  <c r="L48" i="7" s="1"/>
  <c r="M46" i="11"/>
  <c r="L47" i="11"/>
  <c r="L48" i="11" s="1"/>
  <c r="N47" i="7" l="1"/>
  <c r="N48" i="7" s="1"/>
  <c r="O46" i="7"/>
  <c r="M47" i="11"/>
  <c r="M48" i="11" s="1"/>
  <c r="N46" i="11"/>
  <c r="M47" i="7"/>
  <c r="M48" i="7" s="1"/>
  <c r="O47" i="7" l="1"/>
  <c r="O48" i="7" s="1"/>
  <c r="P46" i="7"/>
  <c r="N47" i="11"/>
  <c r="N48" i="11" s="1"/>
  <c r="O46" i="11"/>
  <c r="Q46" i="7" l="1"/>
  <c r="Q47" i="7" s="1"/>
  <c r="Q48" i="7" s="1"/>
  <c r="P47" i="7"/>
  <c r="P48" i="7" s="1"/>
  <c r="O47" i="11"/>
  <c r="O48" i="11" s="1"/>
  <c r="P46" i="11"/>
  <c r="P47" i="11" l="1"/>
  <c r="P48" i="11" s="1"/>
  <c r="Q46" i="11"/>
  <c r="Q47" i="11" l="1"/>
  <c r="K45" i="16"/>
  <c r="L45" i="16"/>
  <c r="M45" i="16" l="1"/>
  <c r="Q48" i="11"/>
  <c r="K47" i="16" s="1"/>
  <c r="K46" i="16"/>
  <c r="K82" i="16" s="1"/>
  <c r="L47" i="16"/>
  <c r="L46" i="16"/>
  <c r="M46" i="16" l="1"/>
  <c r="M47" i="16"/>
  <c r="L82" i="16"/>
  <c r="M82" i="16" s="1"/>
  <c r="C93" i="3"/>
  <c r="F110" i="11"/>
  <c r="F110" i="7" s="1"/>
  <c r="F35" i="7"/>
  <c r="F81" i="11"/>
  <c r="F81" i="7" s="1"/>
  <c r="C97" i="3" l="1"/>
  <c r="F84" i="11"/>
  <c r="F84" i="7" l="1"/>
  <c r="F85" i="11"/>
  <c r="G85" i="11"/>
  <c r="G59" i="11" l="1"/>
  <c r="G85" i="7"/>
  <c r="F59" i="11"/>
  <c r="F85" i="7"/>
  <c r="R59" i="11" l="1"/>
  <c r="F60" i="11"/>
  <c r="F72" i="11" s="1"/>
  <c r="F59" i="7"/>
  <c r="G60" i="11"/>
  <c r="G72" i="11" s="1"/>
  <c r="G59" i="7"/>
  <c r="G60" i="7" l="1"/>
  <c r="G72" i="7" s="1"/>
  <c r="F60" i="7"/>
  <c r="F72" i="7" s="1"/>
  <c r="R59" i="7"/>
  <c r="K56" i="16"/>
  <c r="R60" i="11"/>
  <c r="K57" i="16" s="1"/>
  <c r="L56" i="16" l="1"/>
  <c r="M56" i="16" s="1"/>
  <c r="R60" i="7"/>
  <c r="R72" i="11"/>
  <c r="F74" i="11"/>
  <c r="L57" i="16" l="1"/>
  <c r="M57" i="16" s="1"/>
  <c r="R72" i="7"/>
  <c r="G73" i="11"/>
  <c r="F34" i="11"/>
  <c r="F74" i="7"/>
  <c r="K69" i="16"/>
  <c r="L69" i="16" l="1"/>
  <c r="M69" i="16" s="1"/>
  <c r="F34" i="7"/>
  <c r="F38" i="11"/>
  <c r="F76" i="11"/>
  <c r="F76" i="7" s="1"/>
  <c r="G73" i="7"/>
  <c r="G74" i="11"/>
  <c r="G34" i="11" l="1"/>
  <c r="G76" i="11" s="1"/>
  <c r="G76" i="7" s="1"/>
  <c r="H73" i="11"/>
  <c r="G74" i="7"/>
  <c r="F50" i="11"/>
  <c r="F38" i="7"/>
  <c r="F10" i="11" l="1"/>
  <c r="F50" i="7"/>
  <c r="F10" i="7" s="1"/>
  <c r="H74" i="11"/>
  <c r="H73" i="7"/>
  <c r="G38" i="11"/>
  <c r="G34" i="7"/>
  <c r="G50" i="11" l="1"/>
  <c r="G38" i="7"/>
  <c r="H74" i="7"/>
  <c r="I73" i="7" s="1"/>
  <c r="I74" i="7" s="1"/>
  <c r="I73" i="11"/>
  <c r="H34" i="11"/>
  <c r="I34" i="7" l="1"/>
  <c r="I38" i="7" s="1"/>
  <c r="I50" i="7" s="1"/>
  <c r="I10" i="7" s="1"/>
  <c r="J73" i="7"/>
  <c r="J74" i="7" s="1"/>
  <c r="H38" i="11"/>
  <c r="H34" i="7"/>
  <c r="H76" i="11"/>
  <c r="H76" i="7" s="1"/>
  <c r="I74" i="11"/>
  <c r="G50" i="7"/>
  <c r="G10" i="7" s="1"/>
  <c r="G10" i="11"/>
  <c r="I76" i="7" l="1"/>
  <c r="J73" i="11"/>
  <c r="I34" i="11"/>
  <c r="I38" i="11" s="1"/>
  <c r="I50" i="11" s="1"/>
  <c r="I10" i="11" s="1"/>
  <c r="H38" i="7"/>
  <c r="H50" i="11"/>
  <c r="J34" i="7"/>
  <c r="J38" i="7" s="1"/>
  <c r="J50" i="7" s="1"/>
  <c r="J10" i="7" s="1"/>
  <c r="K73" i="7"/>
  <c r="K74" i="7" s="1"/>
  <c r="J76" i="7" l="1"/>
  <c r="L73" i="7"/>
  <c r="L74" i="7" s="1"/>
  <c r="K34" i="7"/>
  <c r="K38" i="7" s="1"/>
  <c r="K50" i="7" s="1"/>
  <c r="K10" i="7" s="1"/>
  <c r="H10" i="11"/>
  <c r="H50" i="7"/>
  <c r="H10" i="7" s="1"/>
  <c r="J74" i="11"/>
  <c r="I76" i="11"/>
  <c r="J34" i="11" l="1"/>
  <c r="J38" i="11" s="1"/>
  <c r="J50" i="11" s="1"/>
  <c r="J10" i="11" s="1"/>
  <c r="K73" i="11"/>
  <c r="M73" i="7"/>
  <c r="M74" i="7" s="1"/>
  <c r="L34" i="7"/>
  <c r="L38" i="7" s="1"/>
  <c r="L50" i="7" s="1"/>
  <c r="L10" i="7" s="1"/>
  <c r="K76" i="7"/>
  <c r="J76" i="11" l="1"/>
  <c r="N73" i="7"/>
  <c r="N74" i="7" s="1"/>
  <c r="M34" i="7"/>
  <c r="M38" i="7" s="1"/>
  <c r="M50" i="7" s="1"/>
  <c r="M10" i="7" s="1"/>
  <c r="L76" i="7"/>
  <c r="K74" i="11"/>
  <c r="M76" i="7" l="1"/>
  <c r="L73" i="11"/>
  <c r="L74" i="11" s="1"/>
  <c r="K34" i="11"/>
  <c r="K38" i="11" s="1"/>
  <c r="K50" i="11" s="1"/>
  <c r="K10" i="11" s="1"/>
  <c r="N34" i="7"/>
  <c r="N38" i="7" s="1"/>
  <c r="N50" i="7" s="1"/>
  <c r="N10" i="7" s="1"/>
  <c r="O73" i="7"/>
  <c r="O74" i="7" s="1"/>
  <c r="K76" i="11" l="1"/>
  <c r="N76" i="7"/>
  <c r="O34" i="7"/>
  <c r="O38" i="7" s="1"/>
  <c r="O50" i="7" s="1"/>
  <c r="O10" i="7" s="1"/>
  <c r="P73" i="7"/>
  <c r="P74" i="7" s="1"/>
  <c r="L34" i="11"/>
  <c r="L38" i="11" s="1"/>
  <c r="L50" i="11" s="1"/>
  <c r="L10" i="11" s="1"/>
  <c r="M73" i="11"/>
  <c r="M74" i="11" s="1"/>
  <c r="O76" i="7" l="1"/>
  <c r="L76" i="11"/>
  <c r="N73" i="11"/>
  <c r="N74" i="11" s="1"/>
  <c r="M34" i="11"/>
  <c r="M38" i="11" s="1"/>
  <c r="M50" i="11" s="1"/>
  <c r="M10" i="11" s="1"/>
  <c r="Q73" i="7"/>
  <c r="P34" i="7"/>
  <c r="P38" i="7" s="1"/>
  <c r="P50" i="7" s="1"/>
  <c r="P10" i="7" s="1"/>
  <c r="P76" i="7" l="1"/>
  <c r="Q74" i="7"/>
  <c r="R73" i="7"/>
  <c r="M76" i="11"/>
  <c r="O73" i="11"/>
  <c r="O74" i="11" s="1"/>
  <c r="N34" i="11"/>
  <c r="N38" i="11" s="1"/>
  <c r="N50" i="11" s="1"/>
  <c r="N10" i="11" s="1"/>
  <c r="N76" i="11" l="1"/>
  <c r="P73" i="11"/>
  <c r="P74" i="11" s="1"/>
  <c r="O34" i="11"/>
  <c r="O38" i="11" s="1"/>
  <c r="O50" i="11" s="1"/>
  <c r="O10" i="11" s="1"/>
  <c r="L70" i="16"/>
  <c r="R74" i="7"/>
  <c r="L71" i="16" s="1"/>
  <c r="Q34" i="7"/>
  <c r="Q76" i="7" s="1"/>
  <c r="O76" i="11" l="1"/>
  <c r="Q38" i="7"/>
  <c r="L33" i="16"/>
  <c r="P34" i="11"/>
  <c r="P38" i="11" s="1"/>
  <c r="P50" i="11" s="1"/>
  <c r="P10" i="11" s="1"/>
  <c r="Q73" i="11"/>
  <c r="Q74" i="11" l="1"/>
  <c r="R73" i="11"/>
  <c r="L37" i="16"/>
  <c r="Q50" i="7"/>
  <c r="Q10" i="7" s="1"/>
  <c r="P76" i="11"/>
  <c r="L79" i="16"/>
  <c r="L81" i="16" l="1"/>
  <c r="L80" i="16"/>
  <c r="K70" i="16"/>
  <c r="M70" i="16" s="1"/>
  <c r="R74" i="11"/>
  <c r="K71" i="16" s="1"/>
  <c r="M71" i="16" s="1"/>
  <c r="Q34" i="11"/>
  <c r="K33" i="16" l="1"/>
  <c r="Q38" i="11"/>
  <c r="Q76" i="11"/>
  <c r="K37" i="16" l="1"/>
  <c r="Q50" i="11"/>
  <c r="Q10" i="11" s="1"/>
  <c r="K79" i="16"/>
  <c r="M79" i="16" s="1"/>
  <c r="M33" i="16"/>
  <c r="K80" i="16" l="1"/>
  <c r="M80" i="16" s="1"/>
  <c r="K81" i="16"/>
  <c r="M81" i="16" s="1"/>
  <c r="M37" i="16"/>
</calcChain>
</file>

<file path=xl/sharedStrings.xml><?xml version="1.0" encoding="utf-8"?>
<sst xmlns="http://schemas.openxmlformats.org/spreadsheetml/2006/main" count="554" uniqueCount="238">
  <si>
    <t>Balance Sheet Check</t>
  </si>
  <si>
    <t>Assumptions</t>
  </si>
  <si>
    <t>Income statement</t>
  </si>
  <si>
    <t>Revenue Growth (% Change)</t>
  </si>
  <si>
    <t>Cost of Goods Sold (% of Revenue)</t>
  </si>
  <si>
    <t>Depreciation &amp; Amortization (% of PP&amp;E Open Bal)</t>
  </si>
  <si>
    <t>Interest (% of Debt Open Bal)</t>
  </si>
  <si>
    <t>Tax Rate (% of Earnings Before Tax)</t>
  </si>
  <si>
    <t>Balance Sheet</t>
  </si>
  <si>
    <t>Accounts Receivable (Days)</t>
  </si>
  <si>
    <t>Inventory (Days)</t>
  </si>
  <si>
    <t>Accounts Payable (Days)</t>
  </si>
  <si>
    <t>Income Statement</t>
  </si>
  <si>
    <t>Reveneue</t>
  </si>
  <si>
    <t>Cost of Goods Sold (COGS)</t>
  </si>
  <si>
    <t>Gross Profit</t>
  </si>
  <si>
    <t>Expenses</t>
  </si>
  <si>
    <t>Salaries and Benefits</t>
  </si>
  <si>
    <t>Rent and Overhead</t>
  </si>
  <si>
    <t>Depreciation &amp; Amortization</t>
  </si>
  <si>
    <t>Interest</t>
  </si>
  <si>
    <t>Total Expenses</t>
  </si>
  <si>
    <t>Earnings Before Tax</t>
  </si>
  <si>
    <t>Taxes</t>
  </si>
  <si>
    <t>Net Earnings</t>
  </si>
  <si>
    <t>Assets</t>
  </si>
  <si>
    <t>Cash</t>
  </si>
  <si>
    <t>Accounts Receivable</t>
  </si>
  <si>
    <t>Inventory</t>
  </si>
  <si>
    <t>Property &amp; Equipment</t>
  </si>
  <si>
    <t>Total Assets</t>
  </si>
  <si>
    <t>Liabilities</t>
  </si>
  <si>
    <t>Accounts Payable</t>
  </si>
  <si>
    <t>Debt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</si>
  <si>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</si>
  <si>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</si>
  <si>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</si>
  <si>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</si>
  <si>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</si>
  <si>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</si>
  <si>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Cash Flow Statement</t>
  </si>
  <si>
    <t>Operating Cash Flow</t>
  </si>
  <si>
    <t>Plus: Depreciation &amp; Amortization</t>
  </si>
  <si>
    <t>Less: Changes in Working Capital</t>
  </si>
  <si>
    <t>Cash from Operations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</si>
  <si>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</si>
  <si>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</si>
  <si>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</si>
  <si>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</si>
  <si>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</si>
  <si>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</si>
  <si>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</si>
  <si>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</si>
  <si>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</si>
  <si>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</si>
  <si>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Supporting Schedules</t>
  </si>
  <si>
    <t>Working Capital Schedule</t>
  </si>
  <si>
    <t>Net Working Capital (NWC)</t>
  </si>
  <si>
    <t>Change in NWC</t>
  </si>
  <si>
    <t>Depreciation Schedule</t>
  </si>
  <si>
    <t>PPE Opening</t>
  </si>
  <si>
    <t>Plus Capex</t>
  </si>
  <si>
    <t>Less Depreciation</t>
  </si>
  <si>
    <t>PPE Closing</t>
  </si>
  <si>
    <t>Debt &amp; Interest Schedule</t>
  </si>
  <si>
    <t>Debt Opening</t>
  </si>
  <si>
    <t>Issuance (repayment)</t>
  </si>
  <si>
    <t>Debt Closing</t>
  </si>
  <si>
    <t>Interest Expense</t>
  </si>
  <si>
    <t>Actuals</t>
  </si>
  <si>
    <t>FY</t>
  </si>
  <si>
    <t>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</si>
  <si>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</si>
  <si>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</si>
  <si>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</si>
  <si>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</si>
  <si>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</si>
  <si>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</si>
  <si>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</si>
  <si>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</si>
  <si>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</si>
  <si>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</si>
  <si>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</si>
  <si>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</si>
  <si>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Forecast</t>
  </si>
  <si>
    <t xml:space="preserve">Salaries and Benefits </t>
  </si>
  <si>
    <t xml:space="preserve">Rent and Overhead </t>
  </si>
  <si>
    <t>Impact</t>
  </si>
  <si>
    <t xml:space="preserve">Capital Expenditures </t>
  </si>
  <si>
    <t xml:space="preserve">Debt Issuance (Repayment) </t>
  </si>
  <si>
    <t xml:space="preserve">Equity Issued (Repaid) </t>
  </si>
  <si>
    <t>Costs of goods sold</t>
  </si>
  <si>
    <t>Scenario</t>
  </si>
  <si>
    <t>Worst Case</t>
  </si>
  <si>
    <t>Base Case</t>
  </si>
  <si>
    <t>Best</t>
  </si>
  <si>
    <t>Yes/No</t>
  </si>
  <si>
    <t>Yes</t>
  </si>
  <si>
    <t>No</t>
  </si>
  <si>
    <t>Salaries and benefits</t>
  </si>
  <si>
    <t>FTEs</t>
  </si>
  <si>
    <t>Revenues</t>
  </si>
  <si>
    <t xml:space="preserve">Remaining costs of 1 FTE in temporary unemployment </t>
  </si>
  <si>
    <t>Tax</t>
  </si>
  <si>
    <t>Taxes payable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</si>
  <si>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</si>
  <si>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</si>
  <si>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</si>
  <si>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</si>
  <si>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</si>
  <si>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</si>
  <si>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</si>
  <si>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</si>
  <si>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Historical tax% FY19</t>
  </si>
  <si>
    <t>Equity</t>
  </si>
  <si>
    <t>1)</t>
  </si>
  <si>
    <t>2)</t>
  </si>
  <si>
    <t>Equity capital remaining stable in 2020</t>
  </si>
  <si>
    <t>All earnings will be added to retained earnings</t>
  </si>
  <si>
    <t>Corona premiums</t>
  </si>
  <si>
    <t>Flanders</t>
  </si>
  <si>
    <t xml:space="preserve">Are you eligible for any of these premiums? </t>
  </si>
  <si>
    <t>Support of €4000 for companies that are forced to close</t>
  </si>
  <si>
    <t>Support of €2000 for companies that are forced to close during the weekend</t>
  </si>
  <si>
    <t>Brussels</t>
  </si>
  <si>
    <t>Wallonia</t>
  </si>
  <si>
    <t>Support of €5000 for companies that are forced to close</t>
  </si>
  <si>
    <t>Support of €2500 for companies that are forced to change opening hours</t>
  </si>
  <si>
    <r>
      <t>Additional fee of €160 per closing day starting on April 5</t>
    </r>
    <r>
      <rPr>
        <vertAlign val="superscript"/>
        <sz val="11"/>
        <color theme="1"/>
        <rFont val="Calibri"/>
        <family val="2"/>
        <scheme val="minor"/>
      </rPr>
      <t>th</t>
    </r>
  </si>
  <si>
    <t>Months</t>
  </si>
  <si>
    <t>January</t>
  </si>
  <si>
    <t>February</t>
  </si>
  <si>
    <t>March</t>
  </si>
  <si>
    <t xml:space="preserve">Assuming this will remain stable </t>
  </si>
  <si>
    <t>TOTAL OF SUPPORT&amp;GRANTS</t>
  </si>
  <si>
    <t>Days</t>
  </si>
  <si>
    <t>Write-off Inventory</t>
  </si>
  <si>
    <t>Will temporary unemployment be installed?</t>
  </si>
  <si>
    <t>For how many locations?</t>
  </si>
  <si>
    <t>Monthly</t>
  </si>
  <si>
    <t>Budgeted Revenues</t>
  </si>
  <si>
    <t xml:space="preserve">Estimated Impact </t>
  </si>
  <si>
    <t>Estimated Revenues</t>
  </si>
  <si>
    <t>Will Revenues be impacted?</t>
  </si>
  <si>
    <t>Will COGS be impacted?</t>
  </si>
  <si>
    <t>Budget &amp; Estimation</t>
  </si>
  <si>
    <t>Will rent and overhead be impacted?</t>
  </si>
  <si>
    <t>Budgeted Payroll Costs</t>
  </si>
  <si>
    <t>Estimated Payroll Costs</t>
  </si>
  <si>
    <t>Stats</t>
  </si>
  <si>
    <t>Butgeted Capex</t>
  </si>
  <si>
    <t>Estimated Capex</t>
  </si>
  <si>
    <t>Budgeted Receivables</t>
  </si>
  <si>
    <t>Estimated Receivables</t>
  </si>
  <si>
    <t>Payables/Receivables</t>
  </si>
  <si>
    <t>Budgeted Payables</t>
  </si>
  <si>
    <t>Estimated Payables</t>
  </si>
  <si>
    <t>Payables period - based on FY 2020 Budgeted COGS</t>
  </si>
  <si>
    <t>Support of €3000 for businesses facing revenue reduction of (&gt;60%)</t>
  </si>
  <si>
    <t>This model aims to simulate Income Statement, Balance Sheet and Cash Flows for 2020 taking into account different risks and parameters linked to the COVID-19 crisis.</t>
  </si>
  <si>
    <t>(1) Budget 2020</t>
  </si>
  <si>
    <t>Net support measures</t>
  </si>
  <si>
    <t>FTE's in temporary unemployment</t>
  </si>
  <si>
    <t>Sale of (non-core) assets</t>
  </si>
  <si>
    <t>EBIT</t>
  </si>
  <si>
    <t>EBITDA</t>
  </si>
  <si>
    <t>PAT</t>
  </si>
  <si>
    <t>Will asset base be impacted?</t>
  </si>
  <si>
    <t>Yearly Depreciation and Amortization as % of PP&amp;E balance</t>
  </si>
  <si>
    <t>Estimated Total Depreciation</t>
  </si>
  <si>
    <t>Net Added Depreciation</t>
  </si>
  <si>
    <t>Cumulative Net Added Depreciation</t>
  </si>
  <si>
    <t>Budgeted Debt</t>
  </si>
  <si>
    <t>Estimated Debt</t>
  </si>
  <si>
    <t>Estimated Interest</t>
  </si>
  <si>
    <t>Estimated Annual Interest% on Additional Debt</t>
  </si>
  <si>
    <t>Budgeted Inventory</t>
  </si>
  <si>
    <t>Inventory in number of days  - based on FY 2020 Budgeted Revenues</t>
  </si>
  <si>
    <t>Receivables period - based on FY 2020 Budgeted Revenues</t>
  </si>
  <si>
    <t>Impact on inventory period</t>
  </si>
  <si>
    <t>Estimated Inventory</t>
  </si>
  <si>
    <t>Less: Tax paid</t>
  </si>
  <si>
    <t>Changes in Working Capital</t>
  </si>
  <si>
    <t>Will tax payment be delayed?</t>
  </si>
  <si>
    <t>Budgeted Tax Payment</t>
  </si>
  <si>
    <t xml:space="preserve"> </t>
  </si>
  <si>
    <t>New Tax Payment schedule</t>
  </si>
  <si>
    <t>Will Inventories be impacted?</t>
  </si>
  <si>
    <t>Plus: Deferred Tax Payment</t>
  </si>
  <si>
    <t>Inventory write-off</t>
  </si>
  <si>
    <t>(2) Operational and Financial Levers</t>
  </si>
  <si>
    <t>(3) Estimation</t>
  </si>
  <si>
    <t>Estimated Tax Payment</t>
  </si>
  <si>
    <t>EBITDA%</t>
  </si>
  <si>
    <t>Extra  days</t>
  </si>
  <si>
    <t>Will debt be impacted?</t>
  </si>
  <si>
    <t>Yearly interest expense of current debt as % of outstanding loans</t>
  </si>
  <si>
    <t>Assets, Depreciation &amp; Amortization</t>
  </si>
  <si>
    <t>Variance</t>
  </si>
  <si>
    <t>Estimate</t>
  </si>
  <si>
    <t>Gross Profit %</t>
  </si>
  <si>
    <t>EBITDA %</t>
  </si>
  <si>
    <t>EBIT%</t>
  </si>
  <si>
    <t xml:space="preserve">Net Profit % </t>
  </si>
  <si>
    <t>Current Ratio</t>
  </si>
  <si>
    <t>Financial Leverage</t>
  </si>
  <si>
    <t>Return on Assets</t>
  </si>
  <si>
    <t xml:space="preserve">Return on Equity </t>
  </si>
  <si>
    <t>Ratio's</t>
  </si>
  <si>
    <r>
      <t xml:space="preserve">The base of the model is your budget for 2020. Fill in the cells with </t>
    </r>
    <r>
      <rPr>
        <sz val="12"/>
        <color rgb="FFDA5D00"/>
        <rFont val="Cambria"/>
        <family val="1"/>
      </rPr>
      <t>orange numbers</t>
    </r>
    <r>
      <rPr>
        <sz val="12"/>
        <color theme="1"/>
        <rFont val="Cambria"/>
        <family val="1"/>
      </rPr>
      <t>, and your three statements will be completed accordingly.</t>
    </r>
  </si>
  <si>
    <t xml:space="preserve">Based on your budget and selected operational and financial levers, an estimate will be generated. </t>
  </si>
  <si>
    <r>
      <t xml:space="preserve">Select the operational and financial levers that you will trigger in the model. If "Yes" is selected at a given parameter, </t>
    </r>
    <r>
      <rPr>
        <sz val="12"/>
        <color rgb="FFDA5D00"/>
        <rFont val="Cambria"/>
        <family val="1"/>
      </rPr>
      <t>orange cells</t>
    </r>
    <r>
      <rPr>
        <sz val="12"/>
        <color theme="1"/>
        <rFont val="Cambria"/>
        <family val="1"/>
      </rPr>
      <t xml:space="preserve"> will be unlocked in which you will be able to select a pre-set impact or fill in any number.</t>
    </r>
  </si>
  <si>
    <t>A brief analysis is performed on the variance between your budget and the estimate, added with selected KPI's.</t>
  </si>
  <si>
    <t xml:space="preserve">(5) Estimation Visuals </t>
  </si>
  <si>
    <t>Based on the outcome of the estimate, you will see selected graphs hightlighting the difference between budget and Covid-19 adapted estimates.</t>
  </si>
  <si>
    <t>INPUT SHEETS</t>
  </si>
  <si>
    <t>OUTPUT SHEETS</t>
  </si>
  <si>
    <t>Revenue</t>
  </si>
  <si>
    <t>Budgeted COGS</t>
  </si>
  <si>
    <t>Estimated COGS</t>
  </si>
  <si>
    <t>Budgeted Rent &amp; Overhead</t>
  </si>
  <si>
    <t>Estimated Rent &amp; Overhead</t>
  </si>
  <si>
    <t>For more information on the model or for a more detailed approach to your company-specific situation, please reach out to lode.verbruggen@brightwolves.eu or marnik.willems@brightwolves.eu.</t>
  </si>
  <si>
    <t xml:space="preserve">If you experience troubles working with the model or encounter errors, do not hesitate to contact us. This model serves as a tool to make an estimation - BrightWolves cannot be held responsible or liable for decisions made based hereupon. </t>
  </si>
  <si>
    <t>(4) Estimation Analyses</t>
  </si>
  <si>
    <t>Planned Repayment of Principal Value</t>
  </si>
  <si>
    <t>New Additional Debt</t>
  </si>
  <si>
    <t>New Repayment Schedule of Principal Value (Defferals)</t>
  </si>
  <si>
    <t xml:space="preserve">   COGS as % of Revenue</t>
  </si>
  <si>
    <t>Debt baseline</t>
  </si>
  <si>
    <t>Other premiums you are entitled to?</t>
  </si>
  <si>
    <t xml:space="preserve">When will the premiums be paid? </t>
  </si>
  <si>
    <t>Will Accounts Receivable be impacted (days of sales)?</t>
  </si>
  <si>
    <t>Will accounts payable be impacted (days of COGS)?</t>
  </si>
  <si>
    <t>Impact on receivables period (Days)</t>
  </si>
  <si>
    <t>Impact on payables period (Days)</t>
  </si>
  <si>
    <t>Estimated Payables based on impacted COGS</t>
  </si>
  <si>
    <t>Estimated Receivables based on impacted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</si>
</sst>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_-* #,##0_-;\(#,##0\)_-;_-* &quot;-&quot;_-;_-@_-"/>
    <numFmt numFmtId="166" formatCode="_(* #,##0_);_(* \(#,##0\);_(* &quot;-&quot;??_);_(@_)"/>
    <numFmt numFmtId="167" formatCode="_-* #,##0_-;\-* #,##0_-;_-* &quot;-&quot;??_-;_-@_-"/>
    <numFmt numFmtId="168" formatCode="0.0000_ ;\-0.0000\ "/>
    <numFmt numFmtId="169" formatCode="0.000"/>
    <numFmt numFmtId="170" formatCode="\+0%"/>
    <numFmt numFmtId="171" formatCode="\+0%;\-0%"/>
    <numFmt numFmtId="172" formatCode="\+0"/>
    <numFmt numFmtId="173" formatCode="_-* #,##0\ &quot;€&quot;_-;\-* #,##0\ &quot;€&quot;_-;_-* &quot;-&quot;??\ &quot;€&quot;_-;_-@_-"/>
    <numFmt numFmtId="174" formatCode="0.00%;[Red]\-0.00%"/>
    <numFmt numFmtId="175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0"/>
      <name val="Arial Narrow"/>
      <family val="2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0000FF"/>
      <name val="Arial Narrow"/>
      <family val="2"/>
    </font>
    <font>
      <b/>
      <sz val="12"/>
      <color rgb="FF0000FF"/>
      <name val="Arial Narrow"/>
      <family val="2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4"/>
      <color theme="0"/>
      <name val="Cambria"/>
      <family val="1"/>
    </font>
    <font>
      <i/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rgb="FF0000FF"/>
      <name val="Cambria"/>
      <family val="1"/>
    </font>
    <font>
      <b/>
      <sz val="12"/>
      <color rgb="FF0000FF"/>
      <name val="Cambria"/>
      <family val="1"/>
    </font>
    <font>
      <b/>
      <sz val="11"/>
      <name val="Cambria"/>
      <family val="1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DA5D00"/>
      <name val="Cambria"/>
      <family val="1"/>
    </font>
    <font>
      <sz val="12"/>
      <color rgb="FFDA5D00"/>
      <name val="Cambria"/>
      <family val="1"/>
    </font>
    <font>
      <sz val="11"/>
      <name val="Cambria"/>
      <family val="1"/>
    </font>
    <font>
      <b/>
      <sz val="16"/>
      <name val="Cambria"/>
      <family val="1"/>
    </font>
    <font>
      <i/>
      <sz val="12"/>
      <name val="Cambria"/>
      <family val="1"/>
    </font>
    <font>
      <sz val="11"/>
      <color rgb="FFDA5D00"/>
      <name val="Calibri"/>
      <family val="2"/>
      <scheme val="minor"/>
    </font>
    <font>
      <b/>
      <sz val="12"/>
      <color rgb="FF2E3B42"/>
      <name val="Cambria"/>
      <family val="1"/>
    </font>
    <font>
      <sz val="8"/>
      <color theme="1"/>
      <name val="Cambria"/>
      <family val="1"/>
    </font>
    <font>
      <sz val="11"/>
      <color theme="0"/>
      <name val="Calibri"/>
      <family val="2"/>
      <scheme val="minor"/>
    </font>
    <font>
      <sz val="11"/>
      <color theme="0"/>
      <name val="Cambria"/>
      <family val="1"/>
    </font>
    <font>
      <sz val="11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A1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/>
    <xf numFmtId="9" fontId="0" fillId="0" borderId="0" xfId="1" applyFont="1"/>
    <xf numFmtId="165" fontId="3" fillId="0" borderId="0" xfId="2" applyNumberFormat="1" applyFont="1"/>
    <xf numFmtId="165" fontId="5" fillId="0" borderId="0" xfId="2" applyNumberFormat="1" applyFont="1" applyAlignment="1">
      <alignment horizontal="right"/>
    </xf>
    <xf numFmtId="37" fontId="4" fillId="3" borderId="0" xfId="0" applyNumberFormat="1" applyFont="1" applyFill="1" applyAlignment="1">
      <alignment vertical="center"/>
    </xf>
    <xf numFmtId="165" fontId="3" fillId="0" borderId="0" xfId="2" applyNumberFormat="1" applyFont="1" applyFill="1" applyBorder="1"/>
    <xf numFmtId="165" fontId="6" fillId="0" borderId="0" xfId="2" applyNumberFormat="1" applyFont="1"/>
    <xf numFmtId="165" fontId="3" fillId="0" borderId="0" xfId="2" applyNumberFormat="1" applyFont="1" applyFill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5" fontId="7" fillId="0" borderId="0" xfId="2" applyNumberFormat="1" applyFont="1" applyFill="1"/>
    <xf numFmtId="164" fontId="8" fillId="0" borderId="0" xfId="1" applyNumberFormat="1" applyFont="1" applyFill="1"/>
    <xf numFmtId="164" fontId="9" fillId="0" borderId="0" xfId="1" applyNumberFormat="1" applyFont="1" applyFill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center"/>
    </xf>
    <xf numFmtId="164" fontId="8" fillId="0" borderId="0" xfId="1" applyNumberFormat="1" applyFont="1" applyFill="1" applyBorder="1"/>
    <xf numFmtId="164" fontId="9" fillId="0" borderId="0" xfId="1" applyNumberFormat="1" applyFont="1" applyFill="1" applyBorder="1"/>
    <xf numFmtId="165" fontId="8" fillId="0" borderId="0" xfId="2" applyNumberFormat="1" applyFont="1" applyFill="1" applyBorder="1"/>
    <xf numFmtId="165" fontId="9" fillId="0" borderId="0" xfId="2" applyNumberFormat="1" applyFont="1" applyFill="1" applyBorder="1"/>
    <xf numFmtId="165" fontId="5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9" fontId="9" fillId="0" borderId="0" xfId="1" applyFont="1" applyFill="1" applyAlignment="1">
      <alignment horizontal="center"/>
    </xf>
    <xf numFmtId="165" fontId="8" fillId="0" borderId="0" xfId="2" applyNumberFormat="1" applyFont="1" applyFill="1"/>
    <xf numFmtId="165" fontId="9" fillId="0" borderId="0" xfId="2" applyNumberFormat="1" applyFont="1" applyFill="1"/>
    <xf numFmtId="165" fontId="10" fillId="0" borderId="0" xfId="2" applyNumberFormat="1" applyFont="1"/>
    <xf numFmtId="165" fontId="9" fillId="0" borderId="0" xfId="2" applyNumberFormat="1" applyFont="1" applyBorder="1"/>
    <xf numFmtId="165" fontId="6" fillId="0" borderId="8" xfId="2" applyNumberFormat="1" applyFont="1" applyBorder="1"/>
    <xf numFmtId="165" fontId="6" fillId="0" borderId="8" xfId="2" applyNumberFormat="1" applyFont="1" applyBorder="1" applyAlignment="1">
      <alignment horizontal="center"/>
    </xf>
    <xf numFmtId="165" fontId="7" fillId="0" borderId="8" xfId="2" applyNumberFormat="1" applyFont="1" applyBorder="1"/>
    <xf numFmtId="165" fontId="6" fillId="0" borderId="0" xfId="2" applyNumberFormat="1" applyFont="1" applyBorder="1"/>
    <xf numFmtId="165" fontId="6" fillId="0" borderId="0" xfId="2" applyNumberFormat="1" applyFont="1" applyBorder="1" applyAlignment="1">
      <alignment horizontal="center"/>
    </xf>
    <xf numFmtId="165" fontId="10" fillId="0" borderId="0" xfId="2" applyNumberFormat="1" applyFont="1" applyBorder="1"/>
    <xf numFmtId="165" fontId="7" fillId="0" borderId="0" xfId="2" applyNumberFormat="1" applyFont="1" applyBorder="1"/>
    <xf numFmtId="165" fontId="9" fillId="0" borderId="0" xfId="2" applyNumberFormat="1" applyFont="1"/>
    <xf numFmtId="165" fontId="3" fillId="0" borderId="0" xfId="2" applyNumberFormat="1" applyFont="1" applyFill="1"/>
    <xf numFmtId="165" fontId="3" fillId="0" borderId="9" xfId="2" applyNumberFormat="1" applyFont="1" applyBorder="1"/>
    <xf numFmtId="165" fontId="3" fillId="0" borderId="9" xfId="2" applyNumberFormat="1" applyFont="1" applyBorder="1" applyAlignment="1">
      <alignment horizontal="center"/>
    </xf>
    <xf numFmtId="165" fontId="9" fillId="0" borderId="9" xfId="2" applyNumberFormat="1" applyFont="1" applyBorder="1"/>
    <xf numFmtId="165" fontId="8" fillId="0" borderId="9" xfId="2" applyNumberFormat="1" applyFont="1" applyBorder="1"/>
    <xf numFmtId="166" fontId="3" fillId="0" borderId="0" xfId="2" applyNumberFormat="1" applyFont="1" applyFill="1"/>
    <xf numFmtId="165" fontId="6" fillId="0" borderId="10" xfId="2" applyNumberFormat="1" applyFont="1" applyBorder="1"/>
    <xf numFmtId="165" fontId="6" fillId="0" borderId="10" xfId="2" applyNumberFormat="1" applyFont="1" applyBorder="1" applyAlignment="1">
      <alignment horizontal="center"/>
    </xf>
    <xf numFmtId="165" fontId="7" fillId="0" borderId="10" xfId="2" applyNumberFormat="1" applyFont="1" applyBorder="1"/>
    <xf numFmtId="167" fontId="3" fillId="0" borderId="0" xfId="2" applyNumberFormat="1" applyFont="1"/>
    <xf numFmtId="165" fontId="6" fillId="0" borderId="11" xfId="2" applyNumberFormat="1" applyFont="1" applyBorder="1"/>
    <xf numFmtId="165" fontId="6" fillId="0" borderId="11" xfId="2" applyNumberFormat="1" applyFont="1" applyBorder="1" applyAlignment="1">
      <alignment horizontal="center"/>
    </xf>
    <xf numFmtId="165" fontId="7" fillId="0" borderId="11" xfId="2" applyNumberFormat="1" applyFont="1" applyBorder="1"/>
    <xf numFmtId="165" fontId="5" fillId="0" borderId="0" xfId="2" applyNumberFormat="1" applyFont="1"/>
    <xf numFmtId="168" fontId="5" fillId="0" borderId="0" xfId="2" applyNumberFormat="1" applyFont="1"/>
    <xf numFmtId="168" fontId="5" fillId="0" borderId="0" xfId="2" applyNumberFormat="1" applyFont="1" applyAlignment="1">
      <alignment horizontal="center"/>
    </xf>
    <xf numFmtId="169" fontId="5" fillId="0" borderId="0" xfId="2" applyNumberFormat="1" applyFont="1"/>
    <xf numFmtId="165" fontId="3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8" fillId="0" borderId="0" xfId="2" applyNumberFormat="1" applyFont="1" applyBorder="1"/>
    <xf numFmtId="165" fontId="8" fillId="0" borderId="8" xfId="2" applyNumberFormat="1" applyFont="1" applyBorder="1"/>
    <xf numFmtId="165" fontId="8" fillId="0" borderId="0" xfId="2" applyNumberFormat="1" applyFont="1"/>
    <xf numFmtId="166" fontId="3" fillId="0" borderId="0" xfId="2" applyNumberFormat="1" applyFont="1"/>
    <xf numFmtId="165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4" fillId="2" borderId="0" xfId="2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9" fontId="0" fillId="0" borderId="0" xfId="0" applyNumberFormat="1"/>
    <xf numFmtId="170" fontId="0" fillId="0" borderId="0" xfId="0" applyNumberFormat="1"/>
    <xf numFmtId="44" fontId="0" fillId="0" borderId="0" xfId="3" applyFont="1"/>
    <xf numFmtId="0" fontId="12" fillId="5" borderId="17" xfId="0" applyFont="1" applyFill="1" applyBorder="1"/>
    <xf numFmtId="0" fontId="2" fillId="0" borderId="0" xfId="0" applyFont="1" applyAlignment="1">
      <alignment horizontal="center"/>
    </xf>
    <xf numFmtId="165" fontId="14" fillId="0" borderId="0" xfId="2" applyNumberFormat="1" applyFont="1"/>
    <xf numFmtId="0" fontId="15" fillId="0" borderId="0" xfId="0" applyFont="1"/>
    <xf numFmtId="165" fontId="14" fillId="0" borderId="0" xfId="2" applyNumberFormat="1" applyFont="1" applyFill="1" applyBorder="1"/>
    <xf numFmtId="0" fontId="16" fillId="2" borderId="0" xfId="2" applyNumberFormat="1" applyFont="1" applyFill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165" fontId="17" fillId="0" borderId="0" xfId="2" applyNumberFormat="1" applyFont="1" applyBorder="1" applyAlignment="1">
      <alignment horizontal="right"/>
    </xf>
    <xf numFmtId="165" fontId="14" fillId="0" borderId="0" xfId="2" applyNumberFormat="1" applyFont="1" applyBorder="1"/>
    <xf numFmtId="165" fontId="18" fillId="0" borderId="0" xfId="2" applyNumberFormat="1" applyFont="1"/>
    <xf numFmtId="165" fontId="18" fillId="0" borderId="0" xfId="2" applyNumberFormat="1" applyFont="1" applyAlignment="1">
      <alignment horizontal="center"/>
    </xf>
    <xf numFmtId="165" fontId="14" fillId="0" borderId="0" xfId="2" applyNumberFormat="1" applyFont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/>
    <xf numFmtId="165" fontId="22" fillId="0" borderId="0" xfId="2" applyNumberFormat="1" applyFont="1" applyBorder="1"/>
    <xf numFmtId="165" fontId="21" fillId="0" borderId="0" xfId="2" applyNumberFormat="1" applyFont="1" applyBorder="1"/>
    <xf numFmtId="165" fontId="19" fillId="0" borderId="0" xfId="2" applyNumberFormat="1" applyFont="1" applyBorder="1"/>
    <xf numFmtId="165" fontId="18" fillId="0" borderId="8" xfId="2" applyNumberFormat="1" applyFont="1" applyBorder="1"/>
    <xf numFmtId="165" fontId="18" fillId="0" borderId="8" xfId="2" applyNumberFormat="1" applyFont="1" applyBorder="1" applyAlignment="1">
      <alignment horizontal="center"/>
    </xf>
    <xf numFmtId="165" fontId="19" fillId="0" borderId="8" xfId="2" applyNumberFormat="1" applyFont="1" applyBorder="1"/>
    <xf numFmtId="165" fontId="18" fillId="0" borderId="0" xfId="2" applyNumberFormat="1" applyFont="1" applyBorder="1"/>
    <xf numFmtId="165" fontId="18" fillId="0" borderId="0" xfId="2" applyNumberFormat="1" applyFont="1" applyBorder="1" applyAlignment="1">
      <alignment horizontal="center"/>
    </xf>
    <xf numFmtId="165" fontId="20" fillId="0" borderId="9" xfId="2" applyNumberFormat="1" applyFont="1" applyBorder="1"/>
    <xf numFmtId="165" fontId="18" fillId="0" borderId="10" xfId="2" applyNumberFormat="1" applyFont="1" applyBorder="1"/>
    <xf numFmtId="165" fontId="18" fillId="0" borderId="10" xfId="2" applyNumberFormat="1" applyFont="1" applyBorder="1" applyAlignment="1">
      <alignment horizontal="center"/>
    </xf>
    <xf numFmtId="165" fontId="19" fillId="0" borderId="10" xfId="2" applyNumberFormat="1" applyFont="1" applyBorder="1"/>
    <xf numFmtId="165" fontId="18" fillId="0" borderId="11" xfId="2" applyNumberFormat="1" applyFont="1" applyBorder="1"/>
    <xf numFmtId="165" fontId="18" fillId="0" borderId="11" xfId="2" applyNumberFormat="1" applyFont="1" applyBorder="1" applyAlignment="1">
      <alignment horizontal="center"/>
    </xf>
    <xf numFmtId="165" fontId="19" fillId="0" borderId="11" xfId="2" applyNumberFormat="1" applyFont="1" applyBorder="1"/>
    <xf numFmtId="165" fontId="17" fillId="0" borderId="0" xfId="2" applyNumberFormat="1" applyFont="1"/>
    <xf numFmtId="168" fontId="17" fillId="0" borderId="0" xfId="2" applyNumberFormat="1" applyFont="1"/>
    <xf numFmtId="168" fontId="17" fillId="0" borderId="0" xfId="2" applyNumberFormat="1" applyFont="1" applyAlignment="1">
      <alignment horizontal="center"/>
    </xf>
    <xf numFmtId="169" fontId="17" fillId="0" borderId="0" xfId="2" applyNumberFormat="1" applyFont="1" applyBorder="1"/>
    <xf numFmtId="168" fontId="17" fillId="0" borderId="0" xfId="2" applyNumberFormat="1" applyFont="1" applyBorder="1"/>
    <xf numFmtId="165" fontId="14" fillId="0" borderId="8" xfId="2" applyNumberFormat="1" applyFont="1" applyBorder="1"/>
    <xf numFmtId="165" fontId="14" fillId="0" borderId="8" xfId="2" applyNumberFormat="1" applyFont="1" applyBorder="1" applyAlignment="1">
      <alignment horizontal="center"/>
    </xf>
    <xf numFmtId="165" fontId="20" fillId="0" borderId="0" xfId="2" applyNumberFormat="1" applyFont="1" applyBorder="1"/>
    <xf numFmtId="165" fontId="20" fillId="0" borderId="8" xfId="2" applyNumberFormat="1" applyFont="1" applyBorder="1"/>
    <xf numFmtId="0" fontId="24" fillId="6" borderId="0" xfId="0" applyFont="1" applyFill="1" applyAlignment="1">
      <alignment horizontal="center"/>
    </xf>
    <xf numFmtId="0" fontId="24" fillId="5" borderId="17" xfId="0" applyFont="1" applyFill="1" applyBorder="1"/>
    <xf numFmtId="0" fontId="15" fillId="0" borderId="0" xfId="0" applyFont="1" applyAlignment="1">
      <alignment horizontal="center"/>
    </xf>
    <xf numFmtId="0" fontId="15" fillId="0" borderId="1" xfId="0" applyFont="1" applyBorder="1" applyAlignment="1"/>
    <xf numFmtId="0" fontId="15" fillId="0" borderId="0" xfId="0" applyFont="1" applyBorder="1"/>
    <xf numFmtId="0" fontId="16" fillId="2" borderId="9" xfId="2" applyNumberFormat="1" applyFont="1" applyFill="1" applyBorder="1" applyAlignment="1">
      <alignment horizontal="center"/>
    </xf>
    <xf numFmtId="0" fontId="16" fillId="2" borderId="12" xfId="2" applyNumberFormat="1" applyFont="1" applyFill="1" applyBorder="1" applyAlignment="1">
      <alignment horizontal="center"/>
    </xf>
    <xf numFmtId="0" fontId="16" fillId="2" borderId="6" xfId="2" applyNumberFormat="1" applyFont="1" applyFill="1" applyBorder="1" applyAlignment="1">
      <alignment horizontal="center"/>
    </xf>
    <xf numFmtId="0" fontId="16" fillId="2" borderId="3" xfId="2" applyNumberFormat="1" applyFont="1" applyFill="1" applyBorder="1" applyAlignment="1">
      <alignment horizontal="center"/>
    </xf>
    <xf numFmtId="0" fontId="15" fillId="4" borderId="3" xfId="0" applyFont="1" applyFill="1" applyBorder="1"/>
    <xf numFmtId="0" fontId="15" fillId="4" borderId="0" xfId="0" applyFont="1" applyFill="1" applyBorder="1"/>
    <xf numFmtId="0" fontId="15" fillId="4" borderId="12" xfId="0" applyFont="1" applyFill="1" applyBorder="1"/>
    <xf numFmtId="9" fontId="15" fillId="0" borderId="0" xfId="1" applyFont="1"/>
    <xf numFmtId="10" fontId="15" fillId="0" borderId="0" xfId="1" applyNumberFormat="1" applyFont="1"/>
    <xf numFmtId="0" fontId="0" fillId="6" borderId="0" xfId="0" applyFill="1"/>
    <xf numFmtId="0" fontId="25" fillId="0" borderId="2" xfId="0" applyFont="1" applyBorder="1"/>
    <xf numFmtId="0" fontId="25" fillId="0" borderId="7" xfId="0" applyFont="1" applyBorder="1"/>
    <xf numFmtId="9" fontId="0" fillId="0" borderId="5" xfId="1" applyFont="1" applyBorder="1"/>
    <xf numFmtId="165" fontId="14" fillId="0" borderId="2" xfId="2" applyNumberFormat="1" applyFont="1" applyBorder="1"/>
    <xf numFmtId="165" fontId="14" fillId="0" borderId="13" xfId="2" applyNumberFormat="1" applyFont="1" applyBorder="1"/>
    <xf numFmtId="165" fontId="14" fillId="0" borderId="3" xfId="2" applyNumberFormat="1" applyFont="1" applyBorder="1"/>
    <xf numFmtId="165" fontId="14" fillId="0" borderId="12" xfId="2" applyNumberFormat="1" applyFont="1" applyBorder="1"/>
    <xf numFmtId="165" fontId="20" fillId="0" borderId="4" xfId="2" applyNumberFormat="1" applyFont="1" applyBorder="1"/>
    <xf numFmtId="165" fontId="20" fillId="0" borderId="15" xfId="2" applyNumberFormat="1" applyFont="1" applyBorder="1"/>
    <xf numFmtId="165" fontId="21" fillId="0" borderId="18" xfId="2" applyNumberFormat="1" applyFont="1" applyBorder="1"/>
    <xf numFmtId="1" fontId="15" fillId="4" borderId="0" xfId="0" applyNumberFormat="1" applyFont="1" applyFill="1" applyBorder="1"/>
    <xf numFmtId="172" fontId="0" fillId="0" borderId="0" xfId="0" applyNumberFormat="1"/>
    <xf numFmtId="1" fontId="0" fillId="0" borderId="0" xfId="1" applyNumberFormat="1" applyFont="1" applyBorder="1"/>
    <xf numFmtId="0" fontId="25" fillId="0" borderId="19" xfId="0" applyFont="1" applyBorder="1"/>
    <xf numFmtId="0" fontId="25" fillId="0" borderId="20" xfId="0" applyFont="1" applyBorder="1"/>
    <xf numFmtId="1" fontId="0" fillId="0" borderId="21" xfId="1" applyNumberFormat="1" applyFont="1" applyBorder="1"/>
    <xf numFmtId="1" fontId="15" fillId="4" borderId="22" xfId="0" applyNumberFormat="1" applyFont="1" applyFill="1" applyBorder="1"/>
    <xf numFmtId="1" fontId="15" fillId="4" borderId="21" xfId="0" applyNumberFormat="1" applyFont="1" applyFill="1" applyBorder="1"/>
    <xf numFmtId="0" fontId="25" fillId="0" borderId="23" xfId="0" applyFont="1" applyBorder="1"/>
    <xf numFmtId="1" fontId="0" fillId="0" borderId="22" xfId="1" applyNumberFormat="1" applyFont="1" applyBorder="1"/>
    <xf numFmtId="165" fontId="28" fillId="0" borderId="0" xfId="2" applyNumberFormat="1" applyFont="1" applyBorder="1"/>
    <xf numFmtId="165" fontId="17" fillId="0" borderId="3" xfId="2" applyNumberFormat="1" applyFont="1" applyBorder="1" applyAlignment="1">
      <alignment horizontal="right"/>
    </xf>
    <xf numFmtId="165" fontId="17" fillId="0" borderId="12" xfId="2" applyNumberFormat="1" applyFont="1" applyBorder="1" applyAlignment="1">
      <alignment horizontal="right"/>
    </xf>
    <xf numFmtId="165" fontId="20" fillId="0" borderId="3" xfId="2" applyNumberFormat="1" applyFont="1" applyFill="1" applyBorder="1"/>
    <xf numFmtId="165" fontId="20" fillId="0" borderId="12" xfId="2" applyNumberFormat="1" applyFont="1" applyFill="1" applyBorder="1"/>
    <xf numFmtId="0" fontId="24" fillId="5" borderId="26" xfId="0" applyFont="1" applyFill="1" applyBorder="1"/>
    <xf numFmtId="0" fontId="24" fillId="5" borderId="27" xfId="0" applyFont="1" applyFill="1" applyBorder="1"/>
    <xf numFmtId="165" fontId="28" fillId="0" borderId="3" xfId="2" applyNumberFormat="1" applyFont="1" applyBorder="1"/>
    <xf numFmtId="165" fontId="28" fillId="0" borderId="12" xfId="2" applyNumberFormat="1" applyFont="1" applyBorder="1"/>
    <xf numFmtId="165" fontId="21" fillId="0" borderId="3" xfId="2" applyNumberFormat="1" applyFont="1" applyBorder="1"/>
    <xf numFmtId="165" fontId="21" fillId="0" borderId="12" xfId="2" applyNumberFormat="1" applyFont="1" applyBorder="1"/>
    <xf numFmtId="165" fontId="19" fillId="0" borderId="2" xfId="2" applyNumberFormat="1" applyFont="1" applyBorder="1"/>
    <xf numFmtId="165" fontId="19" fillId="0" borderId="13" xfId="2" applyNumberFormat="1" applyFont="1" applyBorder="1"/>
    <xf numFmtId="165" fontId="22" fillId="0" borderId="3" xfId="2" applyNumberFormat="1" applyFont="1" applyBorder="1"/>
    <xf numFmtId="165" fontId="22" fillId="0" borderId="12" xfId="2" applyNumberFormat="1" applyFont="1" applyBorder="1"/>
    <xf numFmtId="165" fontId="19" fillId="0" borderId="28" xfId="2" applyNumberFormat="1" applyFont="1" applyBorder="1"/>
    <xf numFmtId="165" fontId="19" fillId="0" borderId="29" xfId="2" applyNumberFormat="1" applyFont="1" applyBorder="1"/>
    <xf numFmtId="165" fontId="20" fillId="0" borderId="3" xfId="2" applyNumberFormat="1" applyFont="1" applyBorder="1"/>
    <xf numFmtId="165" fontId="20" fillId="0" borderId="12" xfId="2" applyNumberFormat="1" applyFont="1" applyBorder="1"/>
    <xf numFmtId="165" fontId="19" fillId="0" borderId="7" xfId="2" applyNumberFormat="1" applyFont="1" applyBorder="1"/>
    <xf numFmtId="165" fontId="19" fillId="0" borderId="14" xfId="2" applyNumberFormat="1" applyFont="1" applyBorder="1"/>
    <xf numFmtId="169" fontId="17" fillId="0" borderId="3" xfId="2" applyNumberFormat="1" applyFont="1" applyBorder="1"/>
    <xf numFmtId="169" fontId="17" fillId="0" borderId="12" xfId="2" applyNumberFormat="1" applyFont="1" applyBorder="1"/>
    <xf numFmtId="168" fontId="17" fillId="0" borderId="3" xfId="2" applyNumberFormat="1" applyFont="1" applyBorder="1"/>
    <xf numFmtId="168" fontId="17" fillId="0" borderId="12" xfId="2" applyNumberFormat="1" applyFont="1" applyBorder="1"/>
    <xf numFmtId="165" fontId="21" fillId="0" borderId="30" xfId="2" applyNumberFormat="1" applyFont="1" applyBorder="1"/>
    <xf numFmtId="165" fontId="21" fillId="0" borderId="31" xfId="2" applyNumberFormat="1" applyFont="1" applyBorder="1"/>
    <xf numFmtId="165" fontId="20" fillId="0" borderId="2" xfId="2" applyNumberFormat="1" applyFont="1" applyBorder="1"/>
    <xf numFmtId="165" fontId="20" fillId="0" borderId="13" xfId="2" applyNumberFormat="1" applyFont="1" applyBorder="1"/>
    <xf numFmtId="0" fontId="15" fillId="0" borderId="0" xfId="0" applyFont="1" applyFill="1"/>
    <xf numFmtId="0" fontId="16" fillId="2" borderId="16" xfId="2" applyNumberFormat="1" applyFont="1" applyFill="1" applyBorder="1" applyAlignment="1">
      <alignment horizontal="center"/>
    </xf>
    <xf numFmtId="165" fontId="19" fillId="7" borderId="16" xfId="2" applyNumberFormat="1" applyFont="1" applyFill="1" applyBorder="1" applyAlignment="1">
      <alignment horizontal="center"/>
    </xf>
    <xf numFmtId="0" fontId="16" fillId="2" borderId="1" xfId="2" applyNumberFormat="1" applyFont="1" applyFill="1" applyBorder="1" applyAlignment="1">
      <alignment horizontal="center"/>
    </xf>
    <xf numFmtId="0" fontId="16" fillId="2" borderId="7" xfId="2" applyNumberFormat="1" applyFont="1" applyFill="1" applyBorder="1" applyAlignment="1">
      <alignment horizontal="center"/>
    </xf>
    <xf numFmtId="0" fontId="16" fillId="2" borderId="11" xfId="2" applyNumberFormat="1" applyFont="1" applyFill="1" applyBorder="1" applyAlignment="1">
      <alignment horizontal="center"/>
    </xf>
    <xf numFmtId="0" fontId="16" fillId="2" borderId="14" xfId="2" applyNumberFormat="1" applyFont="1" applyFill="1" applyBorder="1" applyAlignment="1">
      <alignment horizontal="center"/>
    </xf>
    <xf numFmtId="165" fontId="19" fillId="7" borderId="2" xfId="2" applyNumberFormat="1" applyFont="1" applyFill="1" applyBorder="1" applyAlignment="1">
      <alignment horizontal="center"/>
    </xf>
    <xf numFmtId="165" fontId="19" fillId="7" borderId="8" xfId="2" applyNumberFormat="1" applyFont="1" applyFill="1" applyBorder="1" applyAlignment="1">
      <alignment horizontal="center"/>
    </xf>
    <xf numFmtId="165" fontId="19" fillId="7" borderId="13" xfId="2" applyNumberFormat="1" applyFont="1" applyFill="1" applyBorder="1" applyAlignment="1">
      <alignment horizontal="center"/>
    </xf>
    <xf numFmtId="0" fontId="0" fillId="0" borderId="0" xfId="0" applyFill="1"/>
    <xf numFmtId="0" fontId="26" fillId="0" borderId="0" xfId="0" applyFont="1"/>
    <xf numFmtId="165" fontId="14" fillId="0" borderId="0" xfId="2" applyNumberFormat="1" applyFont="1" applyFill="1" applyBorder="1" applyAlignment="1">
      <alignment horizontal="center"/>
    </xf>
    <xf numFmtId="165" fontId="19" fillId="0" borderId="0" xfId="2" applyNumberFormat="1" applyFont="1" applyFill="1"/>
    <xf numFmtId="164" fontId="20" fillId="0" borderId="0" xfId="1" applyNumberFormat="1" applyFont="1" applyFill="1"/>
    <xf numFmtId="164" fontId="20" fillId="0" borderId="0" xfId="1" applyNumberFormat="1" applyFont="1" applyFill="1" applyBorder="1"/>
    <xf numFmtId="165" fontId="17" fillId="0" borderId="0" xfId="2" applyNumberFormat="1" applyFont="1" applyBorder="1"/>
    <xf numFmtId="165" fontId="17" fillId="0" borderId="0" xfId="2" applyNumberFormat="1" applyFont="1" applyBorder="1" applyAlignment="1">
      <alignment horizontal="center"/>
    </xf>
    <xf numFmtId="9" fontId="21" fillId="0" borderId="0" xfId="1" applyFont="1" applyFill="1" applyAlignment="1">
      <alignment horizontal="center"/>
    </xf>
    <xf numFmtId="9" fontId="14" fillId="0" borderId="0" xfId="1" applyFont="1" applyFill="1" applyBorder="1"/>
    <xf numFmtId="165" fontId="19" fillId="0" borderId="18" xfId="2" applyNumberFormat="1" applyFont="1" applyBorder="1"/>
    <xf numFmtId="0" fontId="29" fillId="0" borderId="0" xfId="0" applyFont="1"/>
    <xf numFmtId="0" fontId="30" fillId="5" borderId="17" xfId="0" applyFont="1" applyFill="1" applyBorder="1"/>
    <xf numFmtId="168" fontId="31" fillId="0" borderId="0" xfId="2" applyNumberFormat="1" applyFont="1" applyBorder="1"/>
    <xf numFmtId="169" fontId="31" fillId="0" borderId="0" xfId="2" applyNumberFormat="1" applyFont="1" applyBorder="1"/>
    <xf numFmtId="9" fontId="20" fillId="0" borderId="0" xfId="1" applyFont="1" applyFill="1" applyBorder="1"/>
    <xf numFmtId="0" fontId="0" fillId="0" borderId="21" xfId="0" applyBorder="1" applyAlignment="1">
      <alignment horizontal="right"/>
    </xf>
    <xf numFmtId="9" fontId="15" fillId="0" borderId="0" xfId="1" applyNumberFormat="1" applyFont="1"/>
    <xf numFmtId="173" fontId="15" fillId="4" borderId="2" xfId="3" applyNumberFormat="1" applyFont="1" applyFill="1" applyBorder="1"/>
    <xf numFmtId="173" fontId="15" fillId="4" borderId="8" xfId="3" applyNumberFormat="1" applyFont="1" applyFill="1" applyBorder="1"/>
    <xf numFmtId="173" fontId="15" fillId="4" borderId="13" xfId="3" applyNumberFormat="1" applyFont="1" applyFill="1" applyBorder="1"/>
    <xf numFmtId="173" fontId="15" fillId="0" borderId="0" xfId="3" applyNumberFormat="1" applyFont="1" applyBorder="1"/>
    <xf numFmtId="173" fontId="26" fillId="0" borderId="5" xfId="3" applyNumberFormat="1" applyFont="1" applyBorder="1"/>
    <xf numFmtId="173" fontId="15" fillId="4" borderId="3" xfId="0" applyNumberFormat="1" applyFont="1" applyFill="1" applyBorder="1"/>
    <xf numFmtId="173" fontId="15" fillId="4" borderId="0" xfId="0" applyNumberFormat="1" applyFont="1" applyFill="1" applyBorder="1"/>
    <xf numFmtId="173" fontId="15" fillId="4" borderId="12" xfId="0" applyNumberFormat="1" applyFont="1" applyFill="1" applyBorder="1"/>
    <xf numFmtId="173" fontId="15" fillId="4" borderId="4" xfId="3" applyNumberFormat="1" applyFont="1" applyFill="1" applyBorder="1"/>
    <xf numFmtId="173" fontId="15" fillId="4" borderId="9" xfId="3" applyNumberFormat="1" applyFont="1" applyFill="1" applyBorder="1"/>
    <xf numFmtId="173" fontId="15" fillId="4" borderId="15" xfId="3" applyNumberFormat="1" applyFont="1" applyFill="1" applyBorder="1"/>
    <xf numFmtId="173" fontId="15" fillId="0" borderId="9" xfId="3" applyNumberFormat="1" applyFont="1" applyBorder="1"/>
    <xf numFmtId="173" fontId="26" fillId="0" borderId="6" xfId="3" applyNumberFormat="1" applyFont="1" applyBorder="1"/>
    <xf numFmtId="173" fontId="15" fillId="4" borderId="3" xfId="3" applyNumberFormat="1" applyFont="1" applyFill="1" applyBorder="1"/>
    <xf numFmtId="173" fontId="15" fillId="4" borderId="0" xfId="3" applyNumberFormat="1" applyFont="1" applyFill="1" applyBorder="1"/>
    <xf numFmtId="173" fontId="14" fillId="0" borderId="2" xfId="3" applyNumberFormat="1" applyFont="1" applyBorder="1"/>
    <xf numFmtId="173" fontId="14" fillId="0" borderId="8" xfId="3" applyNumberFormat="1" applyFont="1" applyBorder="1"/>
    <xf numFmtId="173" fontId="14" fillId="0" borderId="13" xfId="3" applyNumberFormat="1" applyFont="1" applyBorder="1"/>
    <xf numFmtId="173" fontId="20" fillId="0" borderId="3" xfId="3" applyNumberFormat="1" applyFont="1" applyBorder="1"/>
    <xf numFmtId="173" fontId="20" fillId="0" borderId="0" xfId="3" applyNumberFormat="1" applyFont="1" applyBorder="1"/>
    <xf numFmtId="173" fontId="20" fillId="0" borderId="12" xfId="3" applyNumberFormat="1" applyFont="1" applyBorder="1"/>
    <xf numFmtId="173" fontId="20" fillId="0" borderId="4" xfId="3" applyNumberFormat="1" applyFont="1" applyBorder="1"/>
    <xf numFmtId="173" fontId="20" fillId="0" borderId="9" xfId="3" applyNumberFormat="1" applyFont="1" applyBorder="1"/>
    <xf numFmtId="173" fontId="20" fillId="0" borderId="15" xfId="3" applyNumberFormat="1" applyFont="1" applyBorder="1"/>
    <xf numFmtId="173" fontId="15" fillId="0" borderId="8" xfId="3" applyNumberFormat="1" applyFont="1" applyBorder="1"/>
    <xf numFmtId="173" fontId="26" fillId="0" borderId="16" xfId="3" applyNumberFormat="1" applyFont="1" applyBorder="1"/>
    <xf numFmtId="173" fontId="15" fillId="4" borderId="4" xfId="0" applyNumberFormat="1" applyFont="1" applyFill="1" applyBorder="1"/>
    <xf numFmtId="173" fontId="15" fillId="4" borderId="9" xfId="0" applyNumberFormat="1" applyFont="1" applyFill="1" applyBorder="1"/>
    <xf numFmtId="173" fontId="15" fillId="4" borderId="15" xfId="0" applyNumberFormat="1" applyFont="1" applyFill="1" applyBorder="1"/>
    <xf numFmtId="173" fontId="15" fillId="4" borderId="7" xfId="3" applyNumberFormat="1" applyFont="1" applyFill="1" applyBorder="1"/>
    <xf numFmtId="173" fontId="15" fillId="4" borderId="11" xfId="3" applyNumberFormat="1" applyFont="1" applyFill="1" applyBorder="1"/>
    <xf numFmtId="173" fontId="15" fillId="4" borderId="14" xfId="3" applyNumberFormat="1" applyFont="1" applyFill="1" applyBorder="1"/>
    <xf numFmtId="173" fontId="15" fillId="0" borderId="11" xfId="3" applyNumberFormat="1" applyFont="1" applyBorder="1"/>
    <xf numFmtId="173" fontId="26" fillId="0" borderId="1" xfId="3" applyNumberFormat="1" applyFont="1" applyBorder="1"/>
    <xf numFmtId="173" fontId="15" fillId="0" borderId="12" xfId="3" applyNumberFormat="1" applyFont="1" applyBorder="1"/>
    <xf numFmtId="173" fontId="15" fillId="0" borderId="15" xfId="3" applyNumberFormat="1" applyFont="1" applyBorder="1"/>
    <xf numFmtId="0" fontId="25" fillId="0" borderId="1" xfId="0" applyFont="1" applyBorder="1"/>
    <xf numFmtId="1" fontId="15" fillId="4" borderId="3" xfId="0" applyNumberFormat="1" applyFont="1" applyFill="1" applyBorder="1"/>
    <xf numFmtId="1" fontId="15" fillId="4" borderId="12" xfId="0" applyNumberFormat="1" applyFont="1" applyFill="1" applyBorder="1"/>
    <xf numFmtId="0" fontId="15" fillId="0" borderId="12" xfId="0" applyFont="1" applyBorder="1"/>
    <xf numFmtId="0" fontId="15" fillId="0" borderId="9" xfId="0" applyFont="1" applyBorder="1"/>
    <xf numFmtId="165" fontId="19" fillId="0" borderId="30" xfId="2" applyNumberFormat="1" applyFont="1" applyBorder="1"/>
    <xf numFmtId="174" fontId="19" fillId="0" borderId="31" xfId="1" applyNumberFormat="1" applyFont="1" applyBorder="1"/>
    <xf numFmtId="174" fontId="20" fillId="0" borderId="12" xfId="1" applyNumberFormat="1" applyFont="1" applyBorder="1"/>
    <xf numFmtId="174" fontId="19" fillId="0" borderId="13" xfId="1" applyNumberFormat="1" applyFont="1" applyBorder="1"/>
    <xf numFmtId="165" fontId="19" fillId="0" borderId="3" xfId="2" applyNumberFormat="1" applyFont="1" applyBorder="1"/>
    <xf numFmtId="174" fontId="19" fillId="0" borderId="12" xfId="1" applyNumberFormat="1" applyFont="1" applyBorder="1"/>
    <xf numFmtId="174" fontId="19" fillId="0" borderId="29" xfId="1" applyNumberFormat="1" applyFont="1" applyBorder="1"/>
    <xf numFmtId="0" fontId="30" fillId="5" borderId="26" xfId="0" applyFont="1" applyFill="1" applyBorder="1"/>
    <xf numFmtId="0" fontId="30" fillId="5" borderId="27" xfId="0" applyFont="1" applyFill="1" applyBorder="1"/>
    <xf numFmtId="174" fontId="20" fillId="0" borderId="12" xfId="2" applyNumberFormat="1" applyFont="1" applyBorder="1"/>
    <xf numFmtId="174" fontId="19" fillId="0" borderId="29" xfId="2" applyNumberFormat="1" applyFont="1" applyBorder="1"/>
    <xf numFmtId="174" fontId="19" fillId="0" borderId="12" xfId="2" applyNumberFormat="1" applyFont="1" applyBorder="1"/>
    <xf numFmtId="174" fontId="19" fillId="0" borderId="13" xfId="2" applyNumberFormat="1" applyFont="1" applyBorder="1"/>
    <xf numFmtId="174" fontId="19" fillId="0" borderId="14" xfId="2" applyNumberFormat="1" applyFont="1" applyBorder="1"/>
    <xf numFmtId="165" fontId="19" fillId="0" borderId="12" xfId="2" applyNumberFormat="1" applyFont="1" applyBorder="1"/>
    <xf numFmtId="165" fontId="21" fillId="0" borderId="0" xfId="2" applyNumberFormat="1" applyFont="1" applyFill="1" applyBorder="1"/>
    <xf numFmtId="165" fontId="28" fillId="0" borderId="0" xfId="2" applyNumberFormat="1" applyFont="1" applyFill="1" applyBorder="1"/>
    <xf numFmtId="165" fontId="21" fillId="0" borderId="3" xfId="2" applyNumberFormat="1" applyFont="1" applyFill="1" applyBorder="1"/>
    <xf numFmtId="165" fontId="28" fillId="0" borderId="3" xfId="2" applyNumberFormat="1" applyFont="1" applyFill="1" applyBorder="1"/>
    <xf numFmtId="165" fontId="28" fillId="0" borderId="12" xfId="2" applyNumberFormat="1" applyFont="1" applyFill="1" applyBorder="1"/>
    <xf numFmtId="165" fontId="18" fillId="0" borderId="3" xfId="2" applyNumberFormat="1" applyFont="1" applyBorder="1"/>
    <xf numFmtId="165" fontId="18" fillId="0" borderId="12" xfId="2" applyNumberFormat="1" applyFont="1" applyBorder="1"/>
    <xf numFmtId="0" fontId="15" fillId="0" borderId="5" xfId="0" applyFont="1" applyBorder="1"/>
    <xf numFmtId="0" fontId="24" fillId="5" borderId="32" xfId="0" applyFont="1" applyFill="1" applyBorder="1"/>
    <xf numFmtId="165" fontId="19" fillId="0" borderId="5" xfId="2" applyNumberFormat="1" applyFont="1" applyBorder="1"/>
    <xf numFmtId="165" fontId="19" fillId="0" borderId="16" xfId="2" applyNumberFormat="1" applyFont="1" applyBorder="1"/>
    <xf numFmtId="165" fontId="23" fillId="0" borderId="5" xfId="0" applyNumberFormat="1" applyFont="1" applyBorder="1"/>
    <xf numFmtId="165" fontId="14" fillId="0" borderId="5" xfId="2" applyNumberFormat="1" applyFont="1" applyBorder="1"/>
    <xf numFmtId="165" fontId="19" fillId="0" borderId="33" xfId="2" applyNumberFormat="1" applyFont="1" applyBorder="1"/>
    <xf numFmtId="0" fontId="15" fillId="0" borderId="6" xfId="0" applyFont="1" applyBorder="1"/>
    <xf numFmtId="0" fontId="29" fillId="0" borderId="0" xfId="0" applyFont="1" applyBorder="1"/>
    <xf numFmtId="0" fontId="29" fillId="0" borderId="12" xfId="0" applyFont="1" applyBorder="1"/>
    <xf numFmtId="165" fontId="20" fillId="0" borderId="5" xfId="2" applyNumberFormat="1" applyFont="1" applyBorder="1"/>
    <xf numFmtId="166" fontId="20" fillId="0" borderId="3" xfId="2" applyNumberFormat="1" applyFont="1" applyFill="1" applyBorder="1"/>
    <xf numFmtId="166" fontId="20" fillId="0" borderId="0" xfId="2" applyNumberFormat="1" applyFont="1" applyFill="1" applyBorder="1"/>
    <xf numFmtId="166" fontId="20" fillId="0" borderId="12" xfId="2" applyNumberFormat="1" applyFont="1" applyFill="1" applyBorder="1"/>
    <xf numFmtId="0" fontId="29" fillId="0" borderId="5" xfId="0" applyFont="1" applyBorder="1"/>
    <xf numFmtId="0" fontId="30" fillId="5" borderId="32" xfId="0" applyFont="1" applyFill="1" applyBorder="1"/>
    <xf numFmtId="169" fontId="31" fillId="0" borderId="3" xfId="2" applyNumberFormat="1" applyFont="1" applyBorder="1"/>
    <xf numFmtId="169" fontId="31" fillId="0" borderId="12" xfId="2" applyNumberFormat="1" applyFont="1" applyBorder="1"/>
    <xf numFmtId="168" fontId="31" fillId="0" borderId="3" xfId="2" applyNumberFormat="1" applyFont="1" applyBorder="1"/>
    <xf numFmtId="168" fontId="31" fillId="0" borderId="12" xfId="2" applyNumberFormat="1" applyFont="1" applyBorder="1"/>
    <xf numFmtId="165" fontId="20" fillId="0" borderId="30" xfId="2" applyNumberFormat="1" applyFont="1" applyBorder="1"/>
    <xf numFmtId="165" fontId="20" fillId="0" borderId="18" xfId="2" applyNumberFormat="1" applyFont="1" applyBorder="1"/>
    <xf numFmtId="165" fontId="20" fillId="0" borderId="31" xfId="2" applyNumberFormat="1" applyFont="1" applyBorder="1"/>
    <xf numFmtId="0" fontId="29" fillId="0" borderId="6" xfId="0" applyFont="1" applyBorder="1"/>
    <xf numFmtId="165" fontId="17" fillId="0" borderId="5" xfId="2" applyNumberFormat="1" applyFont="1" applyBorder="1" applyAlignment="1">
      <alignment horizontal="right"/>
    </xf>
    <xf numFmtId="165" fontId="19" fillId="0" borderId="1" xfId="2" applyNumberFormat="1" applyFont="1" applyBorder="1"/>
    <xf numFmtId="165" fontId="19" fillId="0" borderId="6" xfId="2" applyNumberFormat="1" applyFont="1" applyBorder="1"/>
    <xf numFmtId="0" fontId="24" fillId="5" borderId="34" xfId="0" applyFont="1" applyFill="1" applyBorder="1"/>
    <xf numFmtId="0" fontId="24" fillId="5" borderId="35" xfId="0" applyFont="1" applyFill="1" applyBorder="1"/>
    <xf numFmtId="0" fontId="24" fillId="5" borderId="36" xfId="0" applyFont="1" applyFill="1" applyBorder="1"/>
    <xf numFmtId="0" fontId="24" fillId="5" borderId="37" xfId="0" applyFont="1" applyFill="1" applyBorder="1"/>
    <xf numFmtId="165" fontId="18" fillId="0" borderId="2" xfId="2" applyNumberFormat="1" applyFont="1" applyBorder="1"/>
    <xf numFmtId="165" fontId="18" fillId="0" borderId="28" xfId="2" applyNumberFormat="1" applyFont="1" applyBorder="1"/>
    <xf numFmtId="165" fontId="18" fillId="0" borderId="7" xfId="2" applyNumberFormat="1" applyFont="1" applyBorder="1"/>
    <xf numFmtId="165" fontId="18" fillId="0" borderId="4" xfId="2" applyNumberFormat="1" applyFont="1" applyBorder="1"/>
    <xf numFmtId="165" fontId="14" fillId="0" borderId="9" xfId="2" applyNumberFormat="1" applyFont="1" applyBorder="1"/>
    <xf numFmtId="165" fontId="14" fillId="0" borderId="9" xfId="2" applyNumberFormat="1" applyFont="1" applyBorder="1" applyAlignment="1">
      <alignment horizontal="center"/>
    </xf>
    <xf numFmtId="0" fontId="18" fillId="0" borderId="0" xfId="0" applyFont="1"/>
    <xf numFmtId="0" fontId="18" fillId="0" borderId="3" xfId="0" applyFont="1" applyBorder="1"/>
    <xf numFmtId="0" fontId="18" fillId="0" borderId="4" xfId="0" applyFont="1" applyBorder="1"/>
    <xf numFmtId="9" fontId="0" fillId="0" borderId="0" xfId="1" applyFont="1" applyBorder="1"/>
    <xf numFmtId="2" fontId="0" fillId="0" borderId="5" xfId="0" applyNumberFormat="1" applyBorder="1"/>
    <xf numFmtId="2" fontId="0" fillId="0" borderId="0" xfId="0" applyNumberFormat="1" applyBorder="1"/>
    <xf numFmtId="10" fontId="0" fillId="0" borderId="5" xfId="1" applyNumberFormat="1" applyFont="1" applyBorder="1"/>
    <xf numFmtId="10" fontId="0" fillId="0" borderId="0" xfId="1" applyNumberFormat="1" applyFont="1" applyBorder="1"/>
    <xf numFmtId="10" fontId="0" fillId="0" borderId="6" xfId="1" applyNumberFormat="1" applyFont="1" applyBorder="1"/>
    <xf numFmtId="10" fontId="0" fillId="0" borderId="9" xfId="1" applyNumberFormat="1" applyFont="1" applyBorder="1"/>
    <xf numFmtId="174" fontId="0" fillId="0" borderId="12" xfId="1" applyNumberFormat="1" applyFont="1" applyBorder="1"/>
    <xf numFmtId="174" fontId="0" fillId="0" borderId="15" xfId="1" applyNumberFormat="1" applyFont="1" applyBorder="1"/>
    <xf numFmtId="0" fontId="18" fillId="0" borderId="2" xfId="0" applyFont="1" applyBorder="1"/>
    <xf numFmtId="9" fontId="0" fillId="0" borderId="16" xfId="1" applyFont="1" applyBorder="1"/>
    <xf numFmtId="9" fontId="0" fillId="0" borderId="8" xfId="1" applyFont="1" applyBorder="1"/>
    <xf numFmtId="174" fontId="0" fillId="0" borderId="13" xfId="0" applyNumberFormat="1" applyBorder="1"/>
    <xf numFmtId="0" fontId="14" fillId="0" borderId="0" xfId="0" applyFont="1"/>
    <xf numFmtId="0" fontId="27" fillId="0" borderId="0" xfId="0" applyFont="1"/>
    <xf numFmtId="0" fontId="33" fillId="0" borderId="0" xfId="0" applyFont="1"/>
    <xf numFmtId="0" fontId="0" fillId="8" borderId="0" xfId="0" applyFill="1"/>
    <xf numFmtId="0" fontId="32" fillId="6" borderId="0" xfId="0" applyFont="1" applyFill="1"/>
    <xf numFmtId="0" fontId="26" fillId="0" borderId="0" xfId="0" applyFont="1" applyProtection="1">
      <protection locked="0"/>
    </xf>
    <xf numFmtId="1" fontId="0" fillId="0" borderId="0" xfId="1" applyNumberFormat="1" applyFont="1" applyProtection="1">
      <protection locked="0"/>
    </xf>
    <xf numFmtId="44" fontId="0" fillId="0" borderId="0" xfId="3" applyFont="1" applyProtection="1">
      <protection locked="0"/>
    </xf>
    <xf numFmtId="171" fontId="0" fillId="0" borderId="0" xfId="1" applyNumberFormat="1" applyFont="1" applyProtection="1">
      <protection locked="0"/>
    </xf>
    <xf numFmtId="173" fontId="20" fillId="0" borderId="3" xfId="3" applyNumberFormat="1" applyFont="1" applyBorder="1" applyProtection="1">
      <protection locked="0"/>
    </xf>
    <xf numFmtId="173" fontId="20" fillId="0" borderId="0" xfId="3" applyNumberFormat="1" applyFont="1" applyBorder="1" applyProtection="1">
      <protection locked="0"/>
    </xf>
    <xf numFmtId="173" fontId="20" fillId="0" borderId="12" xfId="3" applyNumberFormat="1" applyFont="1" applyBorder="1" applyProtection="1">
      <protection locked="0"/>
    </xf>
    <xf numFmtId="173" fontId="29" fillId="0" borderId="9" xfId="3" applyNumberFormat="1" applyFont="1" applyFill="1" applyBorder="1" applyProtection="1">
      <protection locked="0"/>
    </xf>
    <xf numFmtId="1" fontId="0" fillId="0" borderId="12" xfId="1" applyNumberFormat="1" applyFont="1" applyBorder="1" applyProtection="1">
      <protection locked="0"/>
    </xf>
    <xf numFmtId="44" fontId="0" fillId="0" borderId="12" xfId="3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12" xfId="1" applyNumberFormat="1" applyFont="1" applyBorder="1" applyProtection="1">
      <protection locked="0"/>
    </xf>
    <xf numFmtId="0" fontId="0" fillId="0" borderId="0" xfId="0" applyProtection="1">
      <protection locked="0"/>
    </xf>
    <xf numFmtId="1" fontId="0" fillId="0" borderId="0" xfId="3" applyNumberFormat="1" applyFont="1" applyBorder="1" applyProtection="1">
      <protection locked="0"/>
    </xf>
    <xf numFmtId="1" fontId="0" fillId="0" borderId="24" xfId="3" applyNumberFormat="1" applyFont="1" applyBorder="1" applyProtection="1">
      <protection locked="0"/>
    </xf>
    <xf numFmtId="1" fontId="0" fillId="0" borderId="25" xfId="3" applyNumberFormat="1" applyFont="1" applyBorder="1" applyProtection="1">
      <protection locked="0"/>
    </xf>
    <xf numFmtId="165" fontId="27" fillId="0" borderId="3" xfId="2" applyNumberFormat="1" applyFont="1" applyBorder="1" applyProtection="1">
      <protection locked="0"/>
    </xf>
    <xf numFmtId="165" fontId="27" fillId="0" borderId="0" xfId="2" applyNumberFormat="1" applyFont="1" applyBorder="1" applyProtection="1">
      <protection locked="0"/>
    </xf>
    <xf numFmtId="165" fontId="27" fillId="0" borderId="12" xfId="2" applyNumberFormat="1" applyFont="1" applyBorder="1" applyProtection="1">
      <protection locked="0"/>
    </xf>
    <xf numFmtId="165" fontId="28" fillId="0" borderId="3" xfId="2" applyNumberFormat="1" applyFont="1" applyBorder="1" applyProtection="1">
      <protection locked="0"/>
    </xf>
    <xf numFmtId="165" fontId="28" fillId="0" borderId="0" xfId="2" applyNumberFormat="1" applyFont="1" applyBorder="1" applyProtection="1">
      <protection locked="0"/>
    </xf>
    <xf numFmtId="165" fontId="28" fillId="0" borderId="12" xfId="2" applyNumberFormat="1" applyFont="1" applyBorder="1" applyProtection="1">
      <protection locked="0"/>
    </xf>
    <xf numFmtId="165" fontId="28" fillId="0" borderId="3" xfId="2" applyNumberFormat="1" applyFont="1" applyFill="1" applyBorder="1" applyProtection="1">
      <protection locked="0"/>
    </xf>
    <xf numFmtId="165" fontId="28" fillId="0" borderId="0" xfId="2" applyNumberFormat="1" applyFont="1" applyFill="1" applyBorder="1" applyProtection="1">
      <protection locked="0"/>
    </xf>
    <xf numFmtId="165" fontId="28" fillId="0" borderId="12" xfId="2" applyNumberFormat="1" applyFont="1" applyFill="1" applyBorder="1" applyProtection="1">
      <protection locked="0"/>
    </xf>
    <xf numFmtId="166" fontId="28" fillId="0" borderId="3" xfId="2" applyNumberFormat="1" applyFont="1" applyFill="1" applyBorder="1" applyProtection="1">
      <protection locked="0"/>
    </xf>
    <xf numFmtId="166" fontId="28" fillId="0" borderId="0" xfId="2" applyNumberFormat="1" applyFont="1" applyFill="1" applyBorder="1" applyProtection="1">
      <protection locked="0"/>
    </xf>
    <xf numFmtId="166" fontId="28" fillId="0" borderId="12" xfId="2" applyNumberFormat="1" applyFont="1" applyFill="1" applyBorder="1" applyProtection="1">
      <protection locked="0"/>
    </xf>
    <xf numFmtId="9" fontId="0" fillId="0" borderId="0" xfId="1" applyFont="1" applyProtection="1">
      <protection locked="0"/>
    </xf>
    <xf numFmtId="0" fontId="34" fillId="0" borderId="0" xfId="0" applyFont="1"/>
    <xf numFmtId="175" fontId="17" fillId="0" borderId="3" xfId="2" applyNumberFormat="1" applyFont="1" applyBorder="1"/>
    <xf numFmtId="175" fontId="17" fillId="0" borderId="0" xfId="2" applyNumberFormat="1" applyFont="1" applyBorder="1"/>
    <xf numFmtId="175" fontId="17" fillId="0" borderId="12" xfId="2" applyNumberFormat="1" applyFont="1" applyBorder="1"/>
    <xf numFmtId="173" fontId="0" fillId="0" borderId="0" xfId="0" applyNumberFormat="1"/>
    <xf numFmtId="173" fontId="0" fillId="6" borderId="0" xfId="0" applyNumberFormat="1" applyFill="1"/>
    <xf numFmtId="173" fontId="12" fillId="5" borderId="17" xfId="0" applyNumberFormat="1" applyFont="1" applyFill="1" applyBorder="1"/>
    <xf numFmtId="173" fontId="2" fillId="0" borderId="0" xfId="0" applyNumberFormat="1" applyFont="1" applyProtection="1">
      <protection locked="0"/>
    </xf>
    <xf numFmtId="173" fontId="15" fillId="0" borderId="0" xfId="0" applyNumberFormat="1" applyFont="1"/>
    <xf numFmtId="173" fontId="16" fillId="2" borderId="3" xfId="2" applyNumberFormat="1" applyFont="1" applyFill="1" applyBorder="1" applyAlignment="1">
      <alignment horizontal="center"/>
    </xf>
    <xf numFmtId="173" fontId="16" fillId="2" borderId="0" xfId="2" applyNumberFormat="1" applyFont="1" applyFill="1" applyBorder="1" applyAlignment="1">
      <alignment horizontal="center"/>
    </xf>
    <xf numFmtId="173" fontId="16" fillId="2" borderId="12" xfId="2" applyNumberFormat="1" applyFont="1" applyFill="1" applyBorder="1" applyAlignment="1">
      <alignment horizontal="center"/>
    </xf>
    <xf numFmtId="173" fontId="16" fillId="2" borderId="9" xfId="2" applyNumberFormat="1" applyFont="1" applyFill="1" applyBorder="1" applyAlignment="1">
      <alignment horizontal="center"/>
    </xf>
    <xf numFmtId="173" fontId="28" fillId="0" borderId="3" xfId="3" applyNumberFormat="1" applyFont="1" applyBorder="1" applyProtection="1">
      <protection locked="0"/>
    </xf>
    <xf numFmtId="173" fontId="28" fillId="0" borderId="0" xfId="3" applyNumberFormat="1" applyFont="1" applyBorder="1" applyProtection="1">
      <protection locked="0"/>
    </xf>
    <xf numFmtId="173" fontId="28" fillId="0" borderId="12" xfId="3" applyNumberFormat="1" applyFont="1" applyBorder="1" applyProtection="1">
      <protection locked="0"/>
    </xf>
    <xf numFmtId="173" fontId="28" fillId="0" borderId="3" xfId="1" applyNumberFormat="1" applyFont="1" applyBorder="1" applyProtection="1">
      <protection locked="0"/>
    </xf>
    <xf numFmtId="173" fontId="28" fillId="0" borderId="0" xfId="1" applyNumberFormat="1" applyFont="1" applyBorder="1" applyProtection="1">
      <protection locked="0"/>
    </xf>
    <xf numFmtId="173" fontId="28" fillId="0" borderId="12" xfId="1" applyNumberFormat="1" applyFont="1" applyBorder="1" applyProtection="1">
      <protection locked="0"/>
    </xf>
    <xf numFmtId="173" fontId="14" fillId="0" borderId="3" xfId="3" applyNumberFormat="1" applyFont="1" applyBorder="1"/>
    <xf numFmtId="173" fontId="14" fillId="0" borderId="0" xfId="3" applyNumberFormat="1" applyFont="1" applyBorder="1"/>
    <xf numFmtId="173" fontId="14" fillId="0" borderId="12" xfId="3" applyNumberFormat="1" applyFont="1" applyBorder="1"/>
    <xf numFmtId="9" fontId="0" fillId="0" borderId="0" xfId="1" applyFont="1" applyAlignment="1">
      <alignment horizontal="left"/>
    </xf>
    <xf numFmtId="9" fontId="15" fillId="0" borderId="0" xfId="1" applyNumberFormat="1" applyFont="1" applyAlignment="1">
      <alignment horizontal="left"/>
    </xf>
    <xf numFmtId="165" fontId="20" fillId="0" borderId="3" xfId="2" applyNumberFormat="1" applyFont="1" applyBorder="1" applyProtection="1"/>
    <xf numFmtId="165" fontId="20" fillId="0" borderId="0" xfId="2" applyNumberFormat="1" applyFont="1" applyBorder="1" applyProtection="1"/>
    <xf numFmtId="165" fontId="20" fillId="0" borderId="12" xfId="2" applyNumberFormat="1" applyFont="1" applyBorder="1" applyProtection="1"/>
    <xf numFmtId="173" fontId="35" fillId="0" borderId="0" xfId="3" applyNumberFormat="1" applyFont="1" applyBorder="1" applyAlignment="1">
      <alignment horizontal="center"/>
    </xf>
    <xf numFmtId="173" fontId="36" fillId="0" borderId="0" xfId="3" applyNumberFormat="1" applyFont="1" applyBorder="1"/>
    <xf numFmtId="0" fontId="35" fillId="0" borderId="0" xfId="0" applyFont="1" applyBorder="1"/>
    <xf numFmtId="173" fontId="15" fillId="0" borderId="7" xfId="0" applyNumberFormat="1" applyFont="1" applyBorder="1"/>
    <xf numFmtId="173" fontId="15" fillId="0" borderId="11" xfId="0" applyNumberFormat="1" applyFont="1" applyBorder="1"/>
    <xf numFmtId="173" fontId="15" fillId="0" borderId="14" xfId="0" applyNumberFormat="1" applyFont="1" applyBorder="1"/>
    <xf numFmtId="173" fontId="15" fillId="0" borderId="0" xfId="0" applyNumberFormat="1" applyFont="1" applyFill="1" applyBorder="1"/>
    <xf numFmtId="0" fontId="0" fillId="0" borderId="38" xfId="0" applyBorder="1"/>
    <xf numFmtId="173" fontId="37" fillId="0" borderId="39" xfId="0" applyNumberFormat="1" applyFont="1" applyBorder="1"/>
    <xf numFmtId="0" fontId="0" fillId="0" borderId="0" xfId="0" applyBorder="1"/>
    <xf numFmtId="173" fontId="15" fillId="4" borderId="12" xfId="3" applyNumberFormat="1" applyFont="1" applyFill="1" applyBorder="1"/>
    <xf numFmtId="0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16" fillId="2" borderId="7" xfId="2" applyNumberFormat="1" applyFont="1" applyFill="1" applyBorder="1" applyAlignment="1">
      <alignment horizontal="center"/>
    </xf>
    <xf numFmtId="0" fontId="16" fillId="2" borderId="11" xfId="2" applyNumberFormat="1" applyFont="1" applyFill="1" applyBorder="1" applyAlignment="1">
      <alignment horizontal="center"/>
    </xf>
    <xf numFmtId="0" fontId="16" fillId="2" borderId="14" xfId="2" applyNumberFormat="1" applyFont="1" applyFill="1" applyBorder="1" applyAlignment="1">
      <alignment horizontal="center"/>
    </xf>
    <xf numFmtId="165" fontId="19" fillId="7" borderId="2" xfId="2" applyNumberFormat="1" applyFont="1" applyFill="1" applyBorder="1" applyAlignment="1">
      <alignment horizontal="center"/>
    </xf>
    <xf numFmtId="165" fontId="19" fillId="7" borderId="8" xfId="2" applyNumberFormat="1" applyFont="1" applyFill="1" applyBorder="1" applyAlignment="1">
      <alignment horizontal="center"/>
    </xf>
    <xf numFmtId="165" fontId="19" fillId="7" borderId="13" xfId="2" applyNumberFormat="1" applyFont="1" applyFill="1" applyBorder="1" applyAlignment="1">
      <alignment horizontal="center"/>
    </xf>
    <xf numFmtId="173" fontId="15" fillId="0" borderId="7" xfId="0" applyNumberFormat="1" applyFont="1" applyBorder="1" applyAlignment="1">
      <alignment horizontal="center"/>
    </xf>
    <xf numFmtId="173" fontId="15" fillId="0" borderId="11" xfId="0" applyNumberFormat="1" applyFont="1" applyBorder="1" applyAlignment="1">
      <alignment horizontal="center"/>
    </xf>
    <xf numFmtId="173" fontId="15" fillId="0" borderId="14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4" fillId="5" borderId="2" xfId="0" applyFont="1" applyFill="1" applyBorder="1" applyAlignment="1">
      <alignment horizontal="left"/>
    </xf>
    <xf numFmtId="0" fontId="24" fillId="5" borderId="8" xfId="0" applyFont="1" applyFill="1" applyBorder="1" applyAlignment="1">
      <alignment horizontal="left"/>
    </xf>
    <xf numFmtId="0" fontId="24" fillId="5" borderId="13" xfId="0" applyFont="1" applyFill="1" applyBorder="1" applyAlignment="1">
      <alignment horizontal="left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5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auto="1"/>
          <bgColor rgb="FFDA5D0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border>
        <top style="thin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theme="0"/>
        </patternFill>
      </fill>
    </dxf>
    <dxf>
      <border>
        <top style="thin">
          <color auto="1"/>
        </top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DA5D00"/>
        </patternFill>
      </fill>
    </dxf>
    <dxf>
      <font>
        <color theme="0"/>
      </font>
    </dxf>
    <dxf>
      <font>
        <color theme="0"/>
      </font>
      <fill>
        <patternFill>
          <bgColor rgb="FFDA5D00"/>
        </patternFill>
      </fill>
    </dxf>
    <dxf>
      <font>
        <color theme="0"/>
      </font>
    </dxf>
    <dxf>
      <font>
        <color theme="0"/>
      </font>
      <fill>
        <patternFill>
          <bgColor rgb="FFDA5D00"/>
        </patternFill>
      </fill>
    </dxf>
    <dxf>
      <font>
        <color theme="0"/>
      </font>
      <fill>
        <patternFill>
          <bgColor rgb="FFDA5D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DA5D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A5D00"/>
      <color rgb="FFBCA18C"/>
      <color rgb="FF2E3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/>
              <a:t>Revenues</a:t>
            </a:r>
            <a:r>
              <a:rPr lang="en-BE" baseline="0"/>
              <a:t> - Budget vs. Estimate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2E3B42"/>
            </a:solidFill>
            <a:ln>
              <a:noFill/>
            </a:ln>
            <a:effectLst/>
          </c:spPr>
          <c:invertIfNegative val="0"/>
          <c:cat>
            <c:strRef>
              <c:f>'(1) Budget 2020'!$F$9:$Q$9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'(1) Budget 2020'!$F$13:$Q$13</c:f>
              <c:numCache>
                <c:formatCode>_-* #,##0_-;\(#,##0\)_-;_-* "-"_-;_-@_-</c:formatCode>
                <c:ptCount val="12"/>
                <c:pt idx="0">
                  <c:v>781250</c:v>
                </c:pt>
                <c:pt idx="1">
                  <c:v>781250</c:v>
                </c:pt>
                <c:pt idx="2">
                  <c:v>781250</c:v>
                </c:pt>
                <c:pt idx="3">
                  <c:v>781250</c:v>
                </c:pt>
                <c:pt idx="4">
                  <c:v>1041666.6666666666</c:v>
                </c:pt>
                <c:pt idx="5">
                  <c:v>1041666.6666666666</c:v>
                </c:pt>
                <c:pt idx="6">
                  <c:v>1041666.6666666666</c:v>
                </c:pt>
                <c:pt idx="7">
                  <c:v>1041666.6666666666</c:v>
                </c:pt>
                <c:pt idx="8">
                  <c:v>2072916.6666666667</c:v>
                </c:pt>
                <c:pt idx="9">
                  <c:v>1041666.6666666666</c:v>
                </c:pt>
                <c:pt idx="10">
                  <c:v>1041666.6666666666</c:v>
                </c:pt>
                <c:pt idx="11">
                  <c:v>1692708.3333333333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8-40A6-9140-A6F4218F1D13}"/>
            </c:ext>
          </c:extLst>
        </c:ser>
        <c:ser>
          <c:idx val="1"/>
          <c:order val="1"/>
          <c:tx>
            <c:v>Estimate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'(3) Estimate'!$F$13:$Q$13</c:f>
              <c:numCache>
                <c:formatCode>_-* #,##0_-;\(#,##0\)_-;_-* "-"_-;_-@_-</c:formatCode>
                <c:ptCount val="12"/>
                <c:pt idx="0">
                  <c:v>781250</c:v>
                </c:pt>
                <c:pt idx="1">
                  <c:v>781250</c:v>
                </c:pt>
                <c:pt idx="2">
                  <c:v>781250</c:v>
                </c:pt>
                <c:pt idx="3">
                  <c:v>781250</c:v>
                </c:pt>
                <c:pt idx="4">
                  <c:v>1041666.6666666666</c:v>
                </c:pt>
                <c:pt idx="5">
                  <c:v>1041666.6666666666</c:v>
                </c:pt>
                <c:pt idx="6">
                  <c:v>1041666.6666666666</c:v>
                </c:pt>
                <c:pt idx="7">
                  <c:v>1041666.6666666666</c:v>
                </c:pt>
                <c:pt idx="8">
                  <c:v>2072916.6666666667</c:v>
                </c:pt>
                <c:pt idx="9">
                  <c:v>1041666.6666666666</c:v>
                </c:pt>
                <c:pt idx="10">
                  <c:v>1041666.6666666666</c:v>
                </c:pt>
                <c:pt idx="11">
                  <c:v>1692708.3333333333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8-40A6-9140-A6F4218F1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6987679"/>
        <c:axId val="1359858479"/>
      </c:barChart>
      <c:catAx>
        <c:axId val="135698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9858479"/>
        <c:crosses val="autoZero"/>
        <c:auto val="1"/>
        <c:lblAlgn val="ctr"/>
        <c:lblOffset val="100"/>
        <c:noMultiLvlLbl val="0"/>
      </c:catAx>
      <c:valAx>
        <c:axId val="135985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(#,##0\)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6987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BCA18C"/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/>
              <a:t>Cash Balance - Budget vs. Estimate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2E3B42"/>
            </a:solidFill>
            <a:ln>
              <a:noFill/>
            </a:ln>
            <a:effectLst/>
          </c:spPr>
          <c:invertIfNegative val="0"/>
          <c:cat>
            <c:strRef>
              <c:f>'(1) Budget 2020'!$F$9:$Q$9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'(1) Budget 2020'!$F$34:$Q$34</c:f>
              <c:numCache>
                <c:formatCode>_-* #,##0_-;\(#,##0\)_-;_-* "-"_-;_-@_-</c:formatCode>
                <c:ptCount val="12"/>
                <c:pt idx="0">
                  <c:v>494977.1689497715</c:v>
                </c:pt>
                <c:pt idx="1">
                  <c:v>504509.60155125998</c:v>
                </c:pt>
                <c:pt idx="2">
                  <c:v>504856.38930946396</c:v>
                </c:pt>
                <c:pt idx="3">
                  <c:v>397124.84283562913</c:v>
                </c:pt>
                <c:pt idx="4">
                  <c:v>223967.68630854209</c:v>
                </c:pt>
                <c:pt idx="5">
                  <c:v>198592.29268178472</c:v>
                </c:pt>
                <c:pt idx="6">
                  <c:v>202818.57729522692</c:v>
                </c:pt>
                <c:pt idx="7">
                  <c:v>211091.81729251429</c:v>
                </c:pt>
                <c:pt idx="8">
                  <c:v>451776.90024381439</c:v>
                </c:pt>
                <c:pt idx="9">
                  <c:v>488877.60398480843</c:v>
                </c:pt>
                <c:pt idx="10">
                  <c:v>526062.31943399785</c:v>
                </c:pt>
                <c:pt idx="11">
                  <c:v>707798.65887861408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7-4024-9BEB-ED2D8642800C}"/>
            </c:ext>
          </c:extLst>
        </c:ser>
        <c:ser>
          <c:idx val="1"/>
          <c:order val="1"/>
          <c:tx>
            <c:v>Estimate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'(3) Estimate'!$F$34:$Q$34</c:f>
              <c:numCache>
                <c:formatCode>_-* #,##0_-;\(#,##0\)_-;_-* "-"_-;_-@_-</c:formatCode>
                <c:ptCount val="12"/>
                <c:pt idx="0">
                  <c:v>494977.1689497715</c:v>
                </c:pt>
                <c:pt idx="1">
                  <c:v>504509.60155125998</c:v>
                </c:pt>
                <c:pt idx="2">
                  <c:v>504856.38930946396</c:v>
                </c:pt>
                <c:pt idx="3">
                  <c:v>397124.84283562913</c:v>
                </c:pt>
                <c:pt idx="4">
                  <c:v>223967.68630854209</c:v>
                </c:pt>
                <c:pt idx="5">
                  <c:v>198592.29268178472</c:v>
                </c:pt>
                <c:pt idx="6">
                  <c:v>202818.57729522692</c:v>
                </c:pt>
                <c:pt idx="7">
                  <c:v>211091.81729251426</c:v>
                </c:pt>
                <c:pt idx="8">
                  <c:v>451776.90024381434</c:v>
                </c:pt>
                <c:pt idx="9">
                  <c:v>488877.60398480843</c:v>
                </c:pt>
                <c:pt idx="10">
                  <c:v>526062.31943399785</c:v>
                </c:pt>
                <c:pt idx="11">
                  <c:v>707798.65887861408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7-4024-9BEB-ED2D86428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6987679"/>
        <c:axId val="1359858479"/>
      </c:barChart>
      <c:catAx>
        <c:axId val="135698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9858479"/>
        <c:crosses val="autoZero"/>
        <c:auto val="1"/>
        <c:lblAlgn val="ctr"/>
        <c:lblOffset val="100"/>
        <c:noMultiLvlLbl val="0"/>
      </c:catAx>
      <c:valAx>
        <c:axId val="135985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(#,##0\)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6987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BCA18C"/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/>
              <a:t>Cash Flow</a:t>
            </a:r>
            <a:r>
              <a:rPr lang="en-BE" baseline="0"/>
              <a:t> - Budget vs. Estimate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2E3B42"/>
            </a:solidFill>
            <a:ln>
              <a:noFill/>
            </a:ln>
            <a:effectLst/>
          </c:spPr>
          <c:invertIfNegative val="0"/>
          <c:cat>
            <c:strRef>
              <c:f>'(1) Budget 2020'!$F$9:$Q$9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'(1) Budget 2020'!$F$72:$Q$72</c:f>
              <c:numCache>
                <c:formatCode>_-* #,##0_-;\(#,##0\)_-;_-* "-"_-;_-@_-</c:formatCode>
                <c:ptCount val="12"/>
                <c:pt idx="0">
                  <c:v>19977.168949771512</c:v>
                </c:pt>
                <c:pt idx="1">
                  <c:v>9532.4326014885009</c:v>
                </c:pt>
                <c:pt idx="2">
                  <c:v>346.7877582039946</c:v>
                </c:pt>
                <c:pt idx="3">
                  <c:v>-107731.54647383482</c:v>
                </c:pt>
                <c:pt idx="4">
                  <c:v>-173157.15652708703</c:v>
                </c:pt>
                <c:pt idx="5">
                  <c:v>-25375.393626757359</c:v>
                </c:pt>
                <c:pt idx="6">
                  <c:v>4226.2846134422143</c:v>
                </c:pt>
                <c:pt idx="7">
                  <c:v>8273.2399972873554</c:v>
                </c:pt>
                <c:pt idx="8">
                  <c:v>240685.08295130011</c:v>
                </c:pt>
                <c:pt idx="9">
                  <c:v>37100.703740994068</c:v>
                </c:pt>
                <c:pt idx="10">
                  <c:v>37184.715449189389</c:v>
                </c:pt>
                <c:pt idx="11">
                  <c:v>181736.33944461626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5-4375-B49D-BB7E4E0F2500}"/>
            </c:ext>
          </c:extLst>
        </c:ser>
        <c:ser>
          <c:idx val="1"/>
          <c:order val="1"/>
          <c:tx>
            <c:v>Estimate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'(3) Estimate'!$F$72:$Q$72</c:f>
              <c:numCache>
                <c:formatCode>_-* #,##0_-;\(#,##0\)_-;_-* "-"_-;_-@_-</c:formatCode>
                <c:ptCount val="12"/>
                <c:pt idx="0">
                  <c:v>19977.168949771512</c:v>
                </c:pt>
                <c:pt idx="1">
                  <c:v>9532.4326014885009</c:v>
                </c:pt>
                <c:pt idx="2">
                  <c:v>346.7877582039946</c:v>
                </c:pt>
                <c:pt idx="3">
                  <c:v>-107731.54647383484</c:v>
                </c:pt>
                <c:pt idx="4">
                  <c:v>-173157.15652708703</c:v>
                </c:pt>
                <c:pt idx="5">
                  <c:v>-25375.393626757363</c:v>
                </c:pt>
                <c:pt idx="6">
                  <c:v>4226.2846134422107</c:v>
                </c:pt>
                <c:pt idx="7">
                  <c:v>8273.2399972873518</c:v>
                </c:pt>
                <c:pt idx="8">
                  <c:v>240685.08295130011</c:v>
                </c:pt>
                <c:pt idx="9">
                  <c:v>37100.703740994068</c:v>
                </c:pt>
                <c:pt idx="10">
                  <c:v>37184.715449189389</c:v>
                </c:pt>
                <c:pt idx="11">
                  <c:v>181736.33944461626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5-4375-B49D-BB7E4E0F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6987679"/>
        <c:axId val="1359858479"/>
      </c:barChart>
      <c:catAx>
        <c:axId val="135698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9858479"/>
        <c:crosses val="autoZero"/>
        <c:auto val="1"/>
        <c:lblAlgn val="ctr"/>
        <c:lblOffset val="100"/>
        <c:noMultiLvlLbl val="0"/>
      </c:catAx>
      <c:valAx>
        <c:axId val="135985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(#,##0\)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6987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BCA18C"/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/>
              <a:t>EBITDA</a:t>
            </a:r>
            <a:r>
              <a:rPr lang="en-BE" baseline="0"/>
              <a:t> - Budget vs. Estimate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</c:v>
          </c:tx>
          <c:spPr>
            <a:ln w="28575" cap="rnd">
              <a:solidFill>
                <a:srgbClr val="2E3B42"/>
              </a:solidFill>
              <a:round/>
            </a:ln>
            <a:effectLst/>
          </c:spPr>
          <c:marker>
            <c:symbol val="none"/>
          </c:marker>
          <c:cat>
            <c:strRef>
              <c:f>'(1) Budget 2020'!$F$9:$Q$9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'(1) Budget 2020'!$F$103:$Q$103</c:f>
              <c:numCache>
                <c:formatCode>0%</c:formatCode>
                <c:ptCount val="12"/>
                <c:pt idx="0">
                  <c:v>-0.08</c:v>
                </c:pt>
                <c:pt idx="1">
                  <c:v>-0.08</c:v>
                </c:pt>
                <c:pt idx="2">
                  <c:v>-0.08</c:v>
                </c:pt>
                <c:pt idx="3">
                  <c:v>-0.08</c:v>
                </c:pt>
                <c:pt idx="4">
                  <c:v>3.9999999999999966E-2</c:v>
                </c:pt>
                <c:pt idx="5">
                  <c:v>3.9999999999999966E-2</c:v>
                </c:pt>
                <c:pt idx="6">
                  <c:v>3.9999999999999966E-2</c:v>
                </c:pt>
                <c:pt idx="7">
                  <c:v>3.9999999999999966E-2</c:v>
                </c:pt>
                <c:pt idx="8">
                  <c:v>0.21909547738693472</c:v>
                </c:pt>
                <c:pt idx="9">
                  <c:v>3.9999999999999966E-2</c:v>
                </c:pt>
                <c:pt idx="10">
                  <c:v>3.9999999999999966E-2</c:v>
                </c:pt>
                <c:pt idx="11">
                  <c:v>0.17846153846153853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C-40D0-A8E1-AE4ECA1C980D}"/>
            </c:ext>
          </c:extLst>
        </c:ser>
        <c:ser>
          <c:idx val="1"/>
          <c:order val="1"/>
          <c:tx>
            <c:v>Estimate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'(3) Estimate'!$F$103:$Q$103</c:f>
              <c:numCache>
                <c:formatCode>0%</c:formatCode>
                <c:ptCount val="12"/>
                <c:pt idx="0">
                  <c:v>-0.08</c:v>
                </c:pt>
                <c:pt idx="1">
                  <c:v>-0.08</c:v>
                </c:pt>
                <c:pt idx="2">
                  <c:v>-0.08</c:v>
                </c:pt>
                <c:pt idx="3">
                  <c:v>-0.08</c:v>
                </c:pt>
                <c:pt idx="4">
                  <c:v>3.9999999999999966E-2</c:v>
                </c:pt>
                <c:pt idx="5">
                  <c:v>3.9999999999999966E-2</c:v>
                </c:pt>
                <c:pt idx="6">
                  <c:v>3.9999999999999966E-2</c:v>
                </c:pt>
                <c:pt idx="7">
                  <c:v>3.9999999999999966E-2</c:v>
                </c:pt>
                <c:pt idx="8">
                  <c:v>0.21909547738693472</c:v>
                </c:pt>
                <c:pt idx="9">
                  <c:v>3.9999999999999966E-2</c:v>
                </c:pt>
                <c:pt idx="10">
                  <c:v>3.9999999999999966E-2</c:v>
                </c:pt>
                <c:pt idx="11">
                  <c:v>0.17846153846153853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C-40D0-A8E1-AE4ECA1C9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987679"/>
        <c:axId val="1359858479"/>
      </c:lineChart>
      <c:catAx>
        <c:axId val="135698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9858479"/>
        <c:crosses val="autoZero"/>
        <c:auto val="1"/>
        <c:lblAlgn val="ctr"/>
        <c:lblOffset val="100"/>
        <c:noMultiLvlLbl val="0"/>
      </c:catAx>
      <c:valAx>
        <c:axId val="135985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356987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BCA18C"/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110490</xdr:rowOff>
    </xdr:from>
    <xdr:to>
      <xdr:col>18</xdr:col>
      <xdr:colOff>576580</xdr:colOff>
      <xdr:row>4</xdr:row>
      <xdr:rowOff>75579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23D657-27E8-4B86-87EB-649AE1F9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0" y="294640"/>
          <a:ext cx="7553960" cy="517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154341</xdr:colOff>
      <xdr:row>2</xdr:row>
      <xdr:rowOff>304753</xdr:rowOff>
    </xdr:from>
    <xdr:to>
      <xdr:col>11</xdr:col>
      <xdr:colOff>758671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5A39DF-F00A-44E2-8F27-50836F347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812" y="1066753"/>
          <a:ext cx="7099600" cy="457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896470</xdr:colOff>
      <xdr:row>2</xdr:row>
      <xdr:rowOff>302213</xdr:rowOff>
    </xdr:from>
    <xdr:to>
      <xdr:col>9</xdr:col>
      <xdr:colOff>149102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53C078-93F5-4E14-896E-2CC6E6193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7470" y="1064213"/>
          <a:ext cx="7109760" cy="459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186614</xdr:colOff>
      <xdr:row>2</xdr:row>
      <xdr:rowOff>303483</xdr:rowOff>
    </xdr:from>
    <xdr:to>
      <xdr:col>11</xdr:col>
      <xdr:colOff>987482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7CDB9-ABC9-40FD-8CDC-541EA14D5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6496" y="1065483"/>
          <a:ext cx="7104680" cy="458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1124248</xdr:colOff>
      <xdr:row>2</xdr:row>
      <xdr:rowOff>296013</xdr:rowOff>
    </xdr:from>
    <xdr:to>
      <xdr:col>12</xdr:col>
      <xdr:colOff>339987</xdr:colOff>
      <xdr:row>3</xdr:row>
      <xdr:rowOff>377340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909715-3853-4B86-BF51-81C956047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4954" y="1058013"/>
          <a:ext cx="7034755" cy="458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429483</xdr:colOff>
      <xdr:row>7</xdr:row>
      <xdr:rowOff>78964</xdr:rowOff>
    </xdr:from>
    <xdr:to>
      <xdr:col>13</xdr:col>
      <xdr:colOff>432022</xdr:colOff>
      <xdr:row>34</xdr:row>
      <xdr:rowOff>80864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63322A-657E-4318-8C14-AA812DA02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84716</xdr:colOff>
      <xdr:row>7</xdr:row>
      <xdr:rowOff>78964</xdr:rowOff>
    </xdr:from>
    <xdr:to>
      <xdr:col>27</xdr:col>
      <xdr:colOff>87256</xdr:colOff>
      <xdr:row>34</xdr:row>
      <xdr:rowOff>79594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3D3324-F2BD-47E6-9F71-99E32DD8A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429483</xdr:colOff>
      <xdr:row>35</xdr:row>
      <xdr:rowOff>161183</xdr:rowOff>
    </xdr:from>
    <xdr:to>
      <xdr:col>13</xdr:col>
      <xdr:colOff>432022</xdr:colOff>
      <xdr:row>62</xdr:row>
      <xdr:rowOff>161813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FA59B2-6C6C-4C70-A15B-86F49C0B7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84716</xdr:colOff>
      <xdr:row>35</xdr:row>
      <xdr:rowOff>159913</xdr:rowOff>
    </xdr:from>
    <xdr:to>
      <xdr:col>27</xdr:col>
      <xdr:colOff>88526</xdr:colOff>
      <xdr:row>62</xdr:row>
      <xdr:rowOff>159273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42BE41-8428-4881-A9D4-BAEF80EC2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110639</xdr:colOff>
      <xdr:row>2</xdr:row>
      <xdr:rowOff>104318</xdr:rowOff>
    </xdr:from>
    <xdr:to>
      <xdr:col>19</xdr:col>
      <xdr:colOff>500530</xdr:colOff>
      <xdr:row>5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2918E6-11DE-4D41-9E88-DF271903E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51580" y="477847"/>
          <a:ext cx="7046185" cy="455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ARIN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Aa_Projet_Taylor/Phase%202%20-%20Collecte/Remont&#233;e%20collecte%20-%20MAJ%2001012018/2.%20Matrices%20mises%20&#224;%20jour%20FY2017/Versions%20d&#233;finitives/CSA%20-%2020180326%20-%20Carrefour%20SA%20Taylor%20%20FY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nex%20Strategic%20Plan%202008-2010_TAIW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INT%20PAYS%20SYNTH%20MENSU%20CHIFFRES%20SF%202008%2004%20Cetel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quette%20Reporting%20Economique%2025062008%20V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B_Reporting/2.%20TB/A.%20TB%20mensuel/2012/RT%20TB%20mod&#232;le%202012/Group%20reporting_Capex%20et%20T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P-L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assage_CATTC"/>
      <sheetName val="Actif_31_Dec_001"/>
      <sheetName val="Passif_31_Dec_001"/>
      <sheetName val="EdC_GR_20011"/>
      <sheetName val="EdC_HG_20011"/>
      <sheetName val="ECART_DE_CONV_SYN_-GR1"/>
      <sheetName val="ECART_DE_CONV_SYN-HG1"/>
      <sheetName val="Actif_30_Jun_011"/>
      <sheetName val="Point_d'atterrissage1"/>
      <sheetName val="Passif_30_Jun_011"/>
      <sheetName val="DETTE_NETTE1"/>
      <sheetName val="Taux_moyens1"/>
      <sheetName val="Taux_de_changes1"/>
      <sheetName val="TFI_09011"/>
      <sheetName val="RES_PART_GROUPE1"/>
      <sheetName val="RES_PART_H-G1"/>
      <sheetName val="passage_CATTC1"/>
      <sheetName val="Sales-All"/>
      <sheetName val="EBIT"/>
      <sheetName val="PARAMETERS"/>
      <sheetName val="Data"/>
      <sheetName val="BE02"/>
      <sheetName val="add info"/>
      <sheetName val="Feuil1"/>
      <sheetName val="Activity_assumptions"/>
      <sheetName val="Bridge"/>
      <sheetName val="matériel"/>
      <sheetName val="Base"/>
      <sheetName val="add_info"/>
      <sheetName val="Lists"/>
      <sheetName val="Списки"/>
      <sheetName val="P&amp;L_FMCA"/>
      <sheetName val="table"/>
      <sheetName val="List"/>
      <sheetName val="Market sizing"/>
      <sheetName val="Лист1"/>
      <sheetName val="Calendar"/>
      <sheetName val="Recap clé"/>
      <sheetName val="RET(HL)_1"/>
      <sheetName val="RET(HL)_2"/>
      <sheetName val="Analysis &gt;"/>
      <sheetName val="RET(CA)_1"/>
      <sheetName val="RET(Supply)_1"/>
      <sheetName val="RET(TB)_2"/>
      <sheetName val="han_act"/>
      <sheetName val="masterdata"/>
      <sheetName val="Customer_data"/>
      <sheetName val="Reference"/>
      <sheetName val="Param"/>
      <sheetName val="Actif_31_Dec_002"/>
      <sheetName val="Passif_31_Dec_002"/>
      <sheetName val="EdC_GR_20012"/>
      <sheetName val="EdC_HG_20012"/>
      <sheetName val="ECART_DE_CONV_SYN_-GR2"/>
      <sheetName val="ECART_DE_CONV_SYN-HG2"/>
      <sheetName val="Actif_30_Jun_012"/>
      <sheetName val="Point_d'atterrissage2"/>
      <sheetName val="Passif_30_Jun_012"/>
      <sheetName val="DETTE_NETTE2"/>
      <sheetName val="Taux_moyens2"/>
      <sheetName val="Taux_de_changes2"/>
      <sheetName val="TFI_09012"/>
      <sheetName val="RES_PART_GROUPE2"/>
      <sheetName val="RES_PART_H-G2"/>
      <sheetName val="passage_CATTC2"/>
      <sheetName val="add_info1"/>
      <sheetName val="Market_sizing"/>
      <sheetName val="Recap_clé"/>
      <sheetName val="Analysis_&gt;"/>
      <sheetName val="TBFR17_R2017_Mois"/>
      <sheetName val="Actif_31_Dec_003"/>
      <sheetName val="Passif_31_Dec_003"/>
      <sheetName val="EdC_GR_20013"/>
      <sheetName val="EdC_HG_20013"/>
      <sheetName val="ECART_DE_CONV_SYN_-GR3"/>
      <sheetName val="ECART_DE_CONV_SYN-HG3"/>
      <sheetName val="Actif_30_Jun_013"/>
      <sheetName val="Point_d'atterrissage3"/>
      <sheetName val="Passif_30_Jun_013"/>
      <sheetName val="DETTE_NETTE3"/>
      <sheetName val="Taux_moyens3"/>
      <sheetName val="Taux_de_changes3"/>
      <sheetName val="TFI_09013"/>
      <sheetName val="RES_PART_GROUPE3"/>
      <sheetName val="RES_PART_H-G3"/>
      <sheetName val="passage_CATTC3"/>
      <sheetName val="add_info2"/>
      <sheetName val="Market_sizing1"/>
      <sheetName val="Recap_clé1"/>
      <sheetName val="Analysis_&gt;1"/>
      <sheetName val="tafi_groupe"/>
      <sheetName val="Sommaire"/>
      <sheetName val=""/>
      <sheetName val="FG - IFRS"/>
      <sheetName val="IND"/>
      <sheetName val="FG_-_IFRS"/>
      <sheetName val="dataFI"/>
      <sheetName val="General_Data"/>
      <sheetName val="Liabilities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ntext"/>
      <sheetName val="2. Matrix FY16"/>
      <sheetName val="2. Matrix"/>
      <sheetName val="3. Store Data"/>
      <sheetName val="Comparaison"/>
      <sheetName val="Changelog"/>
      <sheetName val="Liste des champs (hidden)"/>
      <sheetName val="Liste des champs 2017 (hidden)"/>
      <sheetName val="Matrix_Diagnostic"/>
      <sheetName val="CSA - 20180326 - Carrefour SA T"/>
    </sheetNames>
    <sheetDataSet>
      <sheetData sheetId="0"/>
      <sheetData sheetId="1"/>
      <sheetData sheetId="2">
        <row r="7">
          <cell r="B7">
            <v>43101</v>
          </cell>
        </row>
      </sheetData>
      <sheetData sheetId="3"/>
      <sheetData sheetId="4"/>
      <sheetData sheetId="5"/>
      <sheetData sheetId="6">
        <row r="8">
          <cell r="B8" t="str">
            <v>Parc intégré / Integrated Network</v>
          </cell>
        </row>
        <row r="10">
          <cell r="B10" t="str">
            <v>N/A (pas un magasin / not a store)</v>
          </cell>
        </row>
        <row r="13">
          <cell r="B13" t="str">
            <v>Hypermarket / Hypermarché</v>
          </cell>
        </row>
        <row r="14">
          <cell r="B14" t="str">
            <v>Supermarket / Supermarché</v>
          </cell>
        </row>
        <row r="15">
          <cell r="B15" t="str">
            <v>Convenient store / Magasin de proximité</v>
          </cell>
        </row>
        <row r="16">
          <cell r="B16" t="str">
            <v>Cash &amp; Carry</v>
          </cell>
        </row>
        <row r="17">
          <cell r="B17" t="str">
            <v>E-commerce</v>
          </cell>
        </row>
        <row r="18">
          <cell r="B18" t="str">
            <v>Real-Estate / Property</v>
          </cell>
        </row>
        <row r="19">
          <cell r="B19" t="str">
            <v>Insurance &amp; Financial services</v>
          </cell>
        </row>
        <row r="20">
          <cell r="B20" t="str">
            <v>Logistics</v>
          </cell>
        </row>
        <row r="21">
          <cell r="B21" t="str">
            <v>Head office management</v>
          </cell>
        </row>
        <row r="22">
          <cell r="B22" t="str">
            <v>Essence</v>
          </cell>
        </row>
        <row r="23">
          <cell r="B23" t="str">
            <v>N/A</v>
          </cell>
        </row>
        <row r="27">
          <cell r="B27" t="str">
            <v>Appartments</v>
          </cell>
        </row>
        <row r="28">
          <cell r="B28" t="str">
            <v>Centre commercial / Mall</v>
          </cell>
        </row>
        <row r="29">
          <cell r="B29" t="str">
            <v>Entrepôt logistique / Wharehouse</v>
          </cell>
        </row>
        <row r="30">
          <cell r="B30" t="str">
            <v xml:space="preserve">Galerie commerciale </v>
          </cell>
        </row>
        <row r="31">
          <cell r="B31" t="str">
            <v>Magasin / Store</v>
          </cell>
        </row>
        <row r="32">
          <cell r="B32" t="str">
            <v>Parking / Car Park</v>
          </cell>
        </row>
        <row r="33">
          <cell r="B33" t="str">
            <v>Sièges et locaux administratifs / HQ and office space</v>
          </cell>
        </row>
        <row r="34">
          <cell r="B34" t="str">
            <v>Station service / Gas station</v>
          </cell>
        </row>
        <row r="35">
          <cell r="B35" t="str">
            <v>Terrain / Land</v>
          </cell>
        </row>
        <row r="36">
          <cell r="B36" t="str">
            <v>Autres / Others</v>
          </cell>
        </row>
        <row r="83">
          <cell r="F83" t="str">
            <v>Early termination option at any time / Option de résiliation possible à tout moment</v>
          </cell>
        </row>
        <row r="84">
          <cell r="F84" t="str">
            <v>Early Termination options at any time, after date set in field 24 / Option de résiliation à tout moment après date du champ 24</v>
          </cell>
        </row>
        <row r="85">
          <cell r="F85" t="str">
            <v>No early termination option / pas d'Option de résiliation anticipée</v>
          </cell>
        </row>
        <row r="89">
          <cell r="F89" t="str">
            <v>Early Termination option at fixed dates / Options de résiliation anticipée à dates fixées</v>
          </cell>
        </row>
        <row r="90">
          <cell r="F90" t="str">
            <v>Early termination option at any time / Option de résiliation anticipée possible à tout moment</v>
          </cell>
        </row>
        <row r="91">
          <cell r="F91" t="str">
            <v>Early Termination options at any time, after date set in field 33 / Option de résiliation anticipée à tout moment après date du champ 33</v>
          </cell>
        </row>
        <row r="92">
          <cell r="F92" t="str">
            <v>No early termination option / pas d'Option de résiliation anticipée</v>
          </cell>
        </row>
      </sheetData>
      <sheetData sheetId="7">
        <row r="5">
          <cell r="B5" t="str">
            <v>New</v>
          </cell>
          <cell r="D5" t="str">
            <v>AR020</v>
          </cell>
          <cell r="I5" t="str">
            <v>Argentina</v>
          </cell>
        </row>
        <row r="6">
          <cell r="B6" t="str">
            <v>Out - closed in FY17</v>
          </cell>
          <cell r="D6" t="str">
            <v>AR040</v>
          </cell>
          <cell r="I6" t="str">
            <v>Belgium</v>
          </cell>
        </row>
        <row r="7">
          <cell r="B7" t="str">
            <v>Out - to be closed after 01/01/2018</v>
          </cell>
          <cell r="D7" t="str">
            <v>BE010</v>
          </cell>
          <cell r="I7" t="str">
            <v>Brazil</v>
          </cell>
        </row>
        <row r="8">
          <cell r="B8" t="str">
            <v>Update 01.01.2018 - modification</v>
          </cell>
          <cell r="D8" t="str">
            <v>BE020</v>
          </cell>
          <cell r="I8" t="str">
            <v>Brazil-Atacadao</v>
          </cell>
        </row>
        <row r="9">
          <cell r="B9" t="str">
            <v>Update 01.01.2018 -correction</v>
          </cell>
          <cell r="D9" t="str">
            <v>BE030</v>
          </cell>
          <cell r="I9" t="str">
            <v>Carrefour SA</v>
          </cell>
        </row>
        <row r="10">
          <cell r="B10" t="str">
            <v>Update 01.01.2018 -both</v>
          </cell>
          <cell r="D10" t="str">
            <v>BE050</v>
          </cell>
          <cell r="I10" t="str">
            <v>China</v>
          </cell>
        </row>
        <row r="11">
          <cell r="B11" t="str">
            <v>Renewal of existing contract</v>
          </cell>
          <cell r="D11" t="str">
            <v>BE060</v>
          </cell>
          <cell r="I11" t="str">
            <v>France</v>
          </cell>
        </row>
        <row r="12">
          <cell r="B12" t="str">
            <v>At same</v>
          </cell>
          <cell r="D12" t="str">
            <v>BE070</v>
          </cell>
          <cell r="I12" t="str">
            <v>Italy</v>
          </cell>
        </row>
        <row r="13">
          <cell r="D13" t="str">
            <v>BE080</v>
          </cell>
          <cell r="I13" t="str">
            <v>Poland</v>
          </cell>
        </row>
        <row r="14">
          <cell r="D14" t="str">
            <v>BE090</v>
          </cell>
          <cell r="I14" t="str">
            <v>Romania</v>
          </cell>
        </row>
        <row r="15">
          <cell r="D15" t="str">
            <v>BE100</v>
          </cell>
          <cell r="I15" t="str">
            <v>Spain</v>
          </cell>
        </row>
        <row r="16">
          <cell r="D16" t="str">
            <v>BE120</v>
          </cell>
          <cell r="I16" t="str">
            <v>Taiwan</v>
          </cell>
        </row>
        <row r="17">
          <cell r="D17" t="str">
            <v>BE140</v>
          </cell>
          <cell r="I17" t="str">
            <v>Hong-Kong</v>
          </cell>
        </row>
        <row r="18">
          <cell r="D18" t="str">
            <v>BE150</v>
          </cell>
          <cell r="I18" t="str">
            <v>India</v>
          </cell>
        </row>
        <row r="19">
          <cell r="D19" t="str">
            <v>BE160</v>
          </cell>
          <cell r="I19" t="str">
            <v>Luxembourg</v>
          </cell>
        </row>
        <row r="20">
          <cell r="D20" t="str">
            <v>BE170</v>
          </cell>
          <cell r="I20" t="str">
            <v>Netherlands</v>
          </cell>
        </row>
        <row r="21">
          <cell r="D21" t="str">
            <v>BE180</v>
          </cell>
          <cell r="I21" t="str">
            <v>Switzerland</v>
          </cell>
        </row>
        <row r="22">
          <cell r="D22" t="str">
            <v>BE190</v>
          </cell>
          <cell r="I22" t="str">
            <v>Tunisia</v>
          </cell>
        </row>
        <row r="23">
          <cell r="D23" t="str">
            <v>BE200</v>
          </cell>
          <cell r="I23" t="str">
            <v>Romania</v>
          </cell>
        </row>
        <row r="24">
          <cell r="D24" t="str">
            <v>BE210</v>
          </cell>
          <cell r="I24" t="str">
            <v>Turquey</v>
          </cell>
        </row>
        <row r="25">
          <cell r="D25" t="str">
            <v>BE220</v>
          </cell>
        </row>
        <row r="26">
          <cell r="D26" t="str">
            <v>BE230</v>
          </cell>
        </row>
        <row r="27">
          <cell r="D27" t="str">
            <v>BE240</v>
          </cell>
        </row>
        <row r="28">
          <cell r="D28" t="str">
            <v>BE245</v>
          </cell>
        </row>
        <row r="29">
          <cell r="D29" t="str">
            <v>BE250</v>
          </cell>
        </row>
        <row r="30">
          <cell r="D30" t="str">
            <v>BE260</v>
          </cell>
        </row>
        <row r="31">
          <cell r="D31" t="str">
            <v>BE280</v>
          </cell>
        </row>
        <row r="32">
          <cell r="D32" t="str">
            <v>BE290</v>
          </cell>
        </row>
        <row r="33">
          <cell r="D33" t="str">
            <v>BE300</v>
          </cell>
        </row>
        <row r="34">
          <cell r="D34" t="str">
            <v>BE310</v>
          </cell>
        </row>
        <row r="35">
          <cell r="D35" t="str">
            <v>BE330</v>
          </cell>
        </row>
        <row r="36">
          <cell r="D36" t="str">
            <v>BE350</v>
          </cell>
        </row>
        <row r="37">
          <cell r="D37" t="str">
            <v>BE360</v>
          </cell>
        </row>
        <row r="38">
          <cell r="D38" t="str">
            <v>BE370</v>
          </cell>
        </row>
        <row r="39">
          <cell r="D39" t="str">
            <v>BE380</v>
          </cell>
        </row>
        <row r="40">
          <cell r="D40" t="str">
            <v>BE390</v>
          </cell>
        </row>
        <row r="41">
          <cell r="D41" t="str">
            <v>BE400</v>
          </cell>
        </row>
        <row r="42">
          <cell r="D42" t="str">
            <v>BE933</v>
          </cell>
        </row>
        <row r="43">
          <cell r="D43" t="str">
            <v>BE946</v>
          </cell>
        </row>
        <row r="44">
          <cell r="D44" t="str">
            <v>BR066</v>
          </cell>
        </row>
        <row r="45">
          <cell r="D45" t="str">
            <v>BR070</v>
          </cell>
        </row>
        <row r="46">
          <cell r="D46" t="str">
            <v>BR150</v>
          </cell>
        </row>
        <row r="47">
          <cell r="D47" t="str">
            <v>BR160</v>
          </cell>
        </row>
        <row r="48">
          <cell r="D48" t="str">
            <v>BR500</v>
          </cell>
        </row>
        <row r="49">
          <cell r="D49" t="str">
            <v>BR501</v>
          </cell>
        </row>
        <row r="50">
          <cell r="D50" t="str">
            <v>BR690</v>
          </cell>
        </row>
        <row r="51">
          <cell r="D51" t="str">
            <v>BR700</v>
          </cell>
        </row>
        <row r="52">
          <cell r="D52" t="str">
            <v>BR710</v>
          </cell>
        </row>
        <row r="53">
          <cell r="D53" t="str">
            <v>BR720</v>
          </cell>
        </row>
        <row r="54">
          <cell r="D54" t="str">
            <v>BR730</v>
          </cell>
        </row>
        <row r="55">
          <cell r="D55" t="str">
            <v>BRBM0</v>
          </cell>
        </row>
        <row r="56">
          <cell r="D56" t="str">
            <v>BRCSE</v>
          </cell>
        </row>
        <row r="57">
          <cell r="D57" t="str">
            <v>CN310</v>
          </cell>
        </row>
        <row r="58">
          <cell r="D58" t="str">
            <v>CNA00</v>
          </cell>
        </row>
        <row r="59">
          <cell r="D59" t="str">
            <v>CN010</v>
          </cell>
        </row>
        <row r="60">
          <cell r="D60" t="str">
            <v>CNM10</v>
          </cell>
        </row>
        <row r="61">
          <cell r="D61" t="str">
            <v>CNZ30</v>
          </cell>
        </row>
        <row r="62">
          <cell r="D62" t="str">
            <v>CNZ10</v>
          </cell>
        </row>
        <row r="63">
          <cell r="D63" t="str">
            <v>CN980</v>
          </cell>
        </row>
        <row r="64">
          <cell r="D64" t="str">
            <v>CNZ20</v>
          </cell>
        </row>
        <row r="65">
          <cell r="D65" t="str">
            <v>CN990</v>
          </cell>
        </row>
        <row r="66">
          <cell r="D66" t="str">
            <v>CN790</v>
          </cell>
        </row>
        <row r="67">
          <cell r="D67" t="str">
            <v>CN350</v>
          </cell>
        </row>
        <row r="68">
          <cell r="D68" t="str">
            <v>CN800</v>
          </cell>
        </row>
        <row r="69">
          <cell r="D69" t="str">
            <v>CN290</v>
          </cell>
        </row>
        <row r="70">
          <cell r="D70" t="str">
            <v>CN060</v>
          </cell>
        </row>
        <row r="71">
          <cell r="D71" t="str">
            <v>CN220</v>
          </cell>
        </row>
        <row r="72">
          <cell r="D72" t="str">
            <v>CN770</v>
          </cell>
        </row>
        <row r="73">
          <cell r="D73" t="str">
            <v>CN780</v>
          </cell>
        </row>
        <row r="74">
          <cell r="D74" t="str">
            <v>CN710</v>
          </cell>
        </row>
        <row r="75">
          <cell r="D75" t="str">
            <v>CN300</v>
          </cell>
        </row>
        <row r="76">
          <cell r="D76" t="str">
            <v>CN830</v>
          </cell>
        </row>
        <row r="77">
          <cell r="D77" t="str">
            <v>CN750</v>
          </cell>
        </row>
        <row r="78">
          <cell r="D78" t="str">
            <v>CN280</v>
          </cell>
        </row>
        <row r="79">
          <cell r="D79" t="str">
            <v>CN360</v>
          </cell>
        </row>
        <row r="80">
          <cell r="D80" t="str">
            <v>CN810</v>
          </cell>
        </row>
        <row r="81">
          <cell r="D81" t="str">
            <v>CN610</v>
          </cell>
        </row>
        <row r="82">
          <cell r="D82" t="str">
            <v>CN860</v>
          </cell>
        </row>
        <row r="83">
          <cell r="D83" t="str">
            <v>CN450</v>
          </cell>
        </row>
        <row r="84">
          <cell r="D84" t="str">
            <v>CN370</v>
          </cell>
        </row>
        <row r="85">
          <cell r="D85" t="str">
            <v>CN850</v>
          </cell>
        </row>
        <row r="86">
          <cell r="D86" t="str">
            <v>CN180</v>
          </cell>
        </row>
        <row r="87">
          <cell r="D87" t="str">
            <v>FRI20</v>
          </cell>
        </row>
        <row r="88">
          <cell r="D88" t="str">
            <v>CN190</v>
          </cell>
        </row>
        <row r="89">
          <cell r="D89" t="str">
            <v>CN200</v>
          </cell>
        </row>
        <row r="90">
          <cell r="D90" t="str">
            <v>CN870</v>
          </cell>
        </row>
        <row r="91">
          <cell r="D91" t="str">
            <v>CN740</v>
          </cell>
        </row>
        <row r="92">
          <cell r="D92" t="str">
            <v>CN020</v>
          </cell>
        </row>
        <row r="93">
          <cell r="D93" t="str">
            <v>ZH030</v>
          </cell>
        </row>
        <row r="94">
          <cell r="D94" t="str">
            <v>CN410</v>
          </cell>
        </row>
        <row r="95">
          <cell r="D95" t="str">
            <v>CNN10</v>
          </cell>
        </row>
        <row r="96">
          <cell r="D96" t="str">
            <v>CN840</v>
          </cell>
        </row>
        <row r="97">
          <cell r="D97" t="str">
            <v>CN110</v>
          </cell>
        </row>
        <row r="98">
          <cell r="D98" t="str">
            <v>CN320</v>
          </cell>
        </row>
        <row r="99">
          <cell r="D99" t="str">
            <v>CN030</v>
          </cell>
        </row>
        <row r="100">
          <cell r="D100" t="str">
            <v>CN820</v>
          </cell>
        </row>
        <row r="101">
          <cell r="D101" t="str">
            <v>CN730</v>
          </cell>
        </row>
        <row r="102">
          <cell r="D102" t="str">
            <v>CNMY0</v>
          </cell>
        </row>
        <row r="103">
          <cell r="D103" t="str">
            <v>CN390</v>
          </cell>
        </row>
        <row r="104">
          <cell r="D104" t="str">
            <v>CNFF0</v>
          </cell>
        </row>
        <row r="105">
          <cell r="D105" t="str">
            <v>CN040</v>
          </cell>
        </row>
        <row r="106">
          <cell r="D106" t="str">
            <v>CN400</v>
          </cell>
        </row>
        <row r="107">
          <cell r="D107" t="str">
            <v>CN100</v>
          </cell>
        </row>
        <row r="108">
          <cell r="D108" t="str">
            <v>CN270</v>
          </cell>
        </row>
        <row r="109">
          <cell r="D109" t="str">
            <v>CN720</v>
          </cell>
        </row>
        <row r="110">
          <cell r="D110" t="str">
            <v>CN520</v>
          </cell>
        </row>
        <row r="111">
          <cell r="D111" t="str">
            <v>CN570</v>
          </cell>
        </row>
        <row r="112">
          <cell r="D112" t="str">
            <v>CN590</v>
          </cell>
        </row>
        <row r="113">
          <cell r="D113" t="str">
            <v>CN620</v>
          </cell>
        </row>
        <row r="114">
          <cell r="D114" t="str">
            <v>CN880</v>
          </cell>
        </row>
        <row r="115">
          <cell r="D115" t="str">
            <v>CN090</v>
          </cell>
        </row>
        <row r="116">
          <cell r="D116" t="str">
            <v>DE010</v>
          </cell>
        </row>
        <row r="117">
          <cell r="D117" t="str">
            <v>ES010</v>
          </cell>
        </row>
        <row r="118">
          <cell r="D118" t="str">
            <v>ES020</v>
          </cell>
        </row>
        <row r="119">
          <cell r="D119" t="str">
            <v>ES190</v>
          </cell>
        </row>
        <row r="120">
          <cell r="D120" t="str">
            <v>ES040</v>
          </cell>
        </row>
        <row r="121">
          <cell r="D121" t="str">
            <v>ES050</v>
          </cell>
        </row>
        <row r="122">
          <cell r="D122" t="str">
            <v>ES200</v>
          </cell>
        </row>
        <row r="123">
          <cell r="D123" t="str">
            <v>ES210</v>
          </cell>
        </row>
        <row r="124">
          <cell r="D124" t="str">
            <v>ES220</v>
          </cell>
        </row>
        <row r="125">
          <cell r="D125" t="str">
            <v>ES090</v>
          </cell>
        </row>
        <row r="126">
          <cell r="D126" t="str">
            <v>ES230</v>
          </cell>
        </row>
        <row r="127">
          <cell r="D127" t="str">
            <v>ES110</v>
          </cell>
        </row>
        <row r="128">
          <cell r="D128" t="str">
            <v>ES240</v>
          </cell>
        </row>
        <row r="129">
          <cell r="D129" t="str">
            <v>ES130</v>
          </cell>
        </row>
        <row r="130">
          <cell r="D130" t="str">
            <v>ES140</v>
          </cell>
        </row>
        <row r="131">
          <cell r="D131" t="str">
            <v>ES150</v>
          </cell>
        </row>
        <row r="132">
          <cell r="D132" t="str">
            <v>ES070</v>
          </cell>
        </row>
        <row r="133">
          <cell r="D133" t="str">
            <v>ES170</v>
          </cell>
        </row>
        <row r="134">
          <cell r="D134" t="str">
            <v>ES180</v>
          </cell>
        </row>
        <row r="135">
          <cell r="D135" t="str">
            <v>ES060</v>
          </cell>
        </row>
        <row r="136">
          <cell r="D136" t="str">
            <v>ES160</v>
          </cell>
        </row>
        <row r="137">
          <cell r="D137" t="str">
            <v>ES030</v>
          </cell>
        </row>
        <row r="138">
          <cell r="D138" t="str">
            <v>ES100</v>
          </cell>
        </row>
        <row r="139">
          <cell r="D139" t="str">
            <v>ES080</v>
          </cell>
        </row>
        <row r="140">
          <cell r="D140" t="str">
            <v>ES120</v>
          </cell>
        </row>
        <row r="141">
          <cell r="D141" t="str">
            <v>ES250</v>
          </cell>
        </row>
        <row r="142">
          <cell r="D142" t="str">
            <v>ES260</v>
          </cell>
        </row>
        <row r="143">
          <cell r="D143" t="str">
            <v>ES300</v>
          </cell>
        </row>
        <row r="144">
          <cell r="D144" t="str">
            <v>ES310</v>
          </cell>
        </row>
        <row r="145">
          <cell r="D145" t="str">
            <v>ES320</v>
          </cell>
        </row>
        <row r="146">
          <cell r="D146" t="str">
            <v>ES330</v>
          </cell>
        </row>
        <row r="147">
          <cell r="D147" t="str">
            <v>ES340</v>
          </cell>
        </row>
        <row r="148">
          <cell r="D148" t="str">
            <v>ES350</v>
          </cell>
        </row>
        <row r="149">
          <cell r="D149" t="str">
            <v>ES370</v>
          </cell>
        </row>
        <row r="150">
          <cell r="D150" t="str">
            <v>ES390</v>
          </cell>
        </row>
        <row r="151">
          <cell r="D151" t="str">
            <v>ES400</v>
          </cell>
        </row>
        <row r="152">
          <cell r="D152" t="str">
            <v>ES410</v>
          </cell>
        </row>
        <row r="153">
          <cell r="D153" t="str">
            <v>ES440</v>
          </cell>
        </row>
        <row r="154">
          <cell r="D154" t="str">
            <v>ES360</v>
          </cell>
        </row>
        <row r="155">
          <cell r="D155" t="str">
            <v>ES430</v>
          </cell>
        </row>
        <row r="156">
          <cell r="D156" t="str">
            <v>ES420</v>
          </cell>
        </row>
        <row r="157">
          <cell r="D157" t="str">
            <v>ES450</v>
          </cell>
        </row>
        <row r="158">
          <cell r="D158" t="str">
            <v>ES460</v>
          </cell>
        </row>
        <row r="159">
          <cell r="D159" t="str">
            <v>FR1X0</v>
          </cell>
        </row>
        <row r="160">
          <cell r="D160" t="str">
            <v>FRO10</v>
          </cell>
        </row>
        <row r="161">
          <cell r="D161" t="str">
            <v>FR730</v>
          </cell>
        </row>
        <row r="162">
          <cell r="D162" t="str">
            <v>FR0X0</v>
          </cell>
        </row>
        <row r="163">
          <cell r="D163" t="str">
            <v>FR8D0</v>
          </cell>
        </row>
        <row r="164">
          <cell r="D164" t="str">
            <v>FRNO0</v>
          </cell>
        </row>
        <row r="165">
          <cell r="D165" t="str">
            <v>FRR80</v>
          </cell>
        </row>
        <row r="166">
          <cell r="D166" t="str">
            <v>FRXK0</v>
          </cell>
        </row>
        <row r="167">
          <cell r="D167" t="str">
            <v>FR0A0</v>
          </cell>
        </row>
        <row r="168">
          <cell r="D168" t="str">
            <v>FRJO0</v>
          </cell>
        </row>
        <row r="169">
          <cell r="D169" t="str">
            <v>FR0P0</v>
          </cell>
        </row>
        <row r="170">
          <cell r="D170" t="str">
            <v>ZF640</v>
          </cell>
        </row>
        <row r="171">
          <cell r="D171" t="str">
            <v>FRM20</v>
          </cell>
        </row>
        <row r="172">
          <cell r="D172" t="str">
            <v>FR4I0</v>
          </cell>
        </row>
        <row r="173">
          <cell r="D173" t="str">
            <v>ZF690</v>
          </cell>
        </row>
        <row r="174">
          <cell r="D174" t="str">
            <v>FR0B0</v>
          </cell>
        </row>
        <row r="175">
          <cell r="D175" t="str">
            <v>FRDQ0</v>
          </cell>
        </row>
        <row r="176">
          <cell r="D176" t="str">
            <v>FRZL0</v>
          </cell>
        </row>
        <row r="177">
          <cell r="D177" t="str">
            <v>FR500</v>
          </cell>
        </row>
        <row r="178">
          <cell r="D178" t="str">
            <v>FRJK0</v>
          </cell>
        </row>
        <row r="179">
          <cell r="D179" t="str">
            <v>FRPJ0</v>
          </cell>
        </row>
        <row r="180">
          <cell r="D180" t="str">
            <v>FR8V0</v>
          </cell>
        </row>
        <row r="181">
          <cell r="D181" t="str">
            <v>FR660</v>
          </cell>
        </row>
        <row r="182">
          <cell r="D182" t="str">
            <v>FRW10</v>
          </cell>
        </row>
        <row r="183">
          <cell r="D183" t="str">
            <v>FR0Y0</v>
          </cell>
        </row>
        <row r="184">
          <cell r="D184" t="str">
            <v>FRUW0</v>
          </cell>
        </row>
        <row r="185">
          <cell r="D185" t="str">
            <v>FRO90</v>
          </cell>
        </row>
        <row r="186">
          <cell r="D186" t="str">
            <v>FR360</v>
          </cell>
        </row>
        <row r="187">
          <cell r="D187" t="str">
            <v>FRVB0</v>
          </cell>
        </row>
        <row r="188">
          <cell r="D188" t="str">
            <v>FR2E0</v>
          </cell>
        </row>
        <row r="189">
          <cell r="D189" t="str">
            <v>FRV60</v>
          </cell>
        </row>
        <row r="190">
          <cell r="D190" t="str">
            <v>FR5O0</v>
          </cell>
        </row>
        <row r="191">
          <cell r="D191" t="str">
            <v>FR5Z0</v>
          </cell>
        </row>
        <row r="192">
          <cell r="D192" t="str">
            <v>FRFI0</v>
          </cell>
        </row>
        <row r="193">
          <cell r="D193" t="str">
            <v>FRBI0</v>
          </cell>
        </row>
        <row r="194">
          <cell r="D194" t="str">
            <v>FRU90</v>
          </cell>
        </row>
        <row r="195">
          <cell r="D195" t="str">
            <v>FRR30</v>
          </cell>
        </row>
        <row r="196">
          <cell r="D196" t="str">
            <v>FRCI0</v>
          </cell>
        </row>
        <row r="197">
          <cell r="D197" t="str">
            <v>FREO0</v>
          </cell>
        </row>
        <row r="198">
          <cell r="D198" t="str">
            <v>FRV20</v>
          </cell>
        </row>
        <row r="199">
          <cell r="D199" t="str">
            <v>FRV00</v>
          </cell>
        </row>
        <row r="200">
          <cell r="D200" t="str">
            <v>FRK50</v>
          </cell>
        </row>
        <row r="201">
          <cell r="D201" t="str">
            <v>FRR90</v>
          </cell>
        </row>
        <row r="202">
          <cell r="D202" t="str">
            <v>FRS80</v>
          </cell>
        </row>
        <row r="203">
          <cell r="D203" t="str">
            <v>FRAO0</v>
          </cell>
        </row>
        <row r="204">
          <cell r="D204" t="str">
            <v>FRY90</v>
          </cell>
        </row>
        <row r="205">
          <cell r="D205" t="str">
            <v>FRU80</v>
          </cell>
        </row>
        <row r="206">
          <cell r="D206" t="str">
            <v>FRK40</v>
          </cell>
        </row>
        <row r="207">
          <cell r="D207" t="str">
            <v>FRT30</v>
          </cell>
        </row>
        <row r="208">
          <cell r="D208" t="str">
            <v>FR0U0</v>
          </cell>
        </row>
        <row r="209">
          <cell r="D209" t="str">
            <v>FRAI0</v>
          </cell>
        </row>
        <row r="210">
          <cell r="D210" t="str">
            <v>FREI0</v>
          </cell>
        </row>
        <row r="211">
          <cell r="D211" t="str">
            <v>FRR40</v>
          </cell>
        </row>
        <row r="212">
          <cell r="D212" t="str">
            <v>FRS70</v>
          </cell>
        </row>
        <row r="213">
          <cell r="D213" t="str">
            <v>FR0D0</v>
          </cell>
        </row>
        <row r="214">
          <cell r="D214" t="str">
            <v>FR8G0</v>
          </cell>
        </row>
        <row r="215">
          <cell r="D215" t="str">
            <v>FR330</v>
          </cell>
        </row>
        <row r="216">
          <cell r="D216" t="str">
            <v>FRSU0</v>
          </cell>
        </row>
        <row r="217">
          <cell r="D217" t="str">
            <v>FRGW0</v>
          </cell>
        </row>
        <row r="218">
          <cell r="D218" t="str">
            <v>FR560</v>
          </cell>
        </row>
        <row r="219">
          <cell r="D219" t="str">
            <v>FRV70</v>
          </cell>
        </row>
        <row r="220">
          <cell r="D220" t="str">
            <v>FR350</v>
          </cell>
        </row>
        <row r="221">
          <cell r="D221" t="str">
            <v>FRB70</v>
          </cell>
        </row>
        <row r="222">
          <cell r="D222" t="str">
            <v>FR3D0</v>
          </cell>
        </row>
        <row r="223">
          <cell r="D223" t="str">
            <v>FR010</v>
          </cell>
        </row>
        <row r="224">
          <cell r="D224" t="str">
            <v>FRTB0</v>
          </cell>
        </row>
        <row r="225">
          <cell r="D225" t="str">
            <v>FR240</v>
          </cell>
        </row>
        <row r="226">
          <cell r="D226" t="str">
            <v>FRT01</v>
          </cell>
        </row>
        <row r="227">
          <cell r="D227" t="str">
            <v>FRDY0</v>
          </cell>
        </row>
        <row r="228">
          <cell r="D228" t="str">
            <v>FRM40</v>
          </cell>
        </row>
        <row r="229">
          <cell r="D229" t="str">
            <v>FRLIB</v>
          </cell>
        </row>
        <row r="230">
          <cell r="D230" t="str">
            <v>ZF020</v>
          </cell>
        </row>
        <row r="231">
          <cell r="D231" t="str">
            <v>FRFF0</v>
          </cell>
        </row>
        <row r="232">
          <cell r="D232" t="str">
            <v>FR030</v>
          </cell>
        </row>
        <row r="233">
          <cell r="D233" t="str">
            <v>FRR20</v>
          </cell>
        </row>
        <row r="234">
          <cell r="D234" t="str">
            <v>FRSR0</v>
          </cell>
        </row>
        <row r="235">
          <cell r="D235" t="str">
            <v>ZF600</v>
          </cell>
        </row>
        <row r="236">
          <cell r="D236" t="str">
            <v>FRA50</v>
          </cell>
        </row>
        <row r="237">
          <cell r="D237" t="str">
            <v>FRN50</v>
          </cell>
        </row>
        <row r="238">
          <cell r="D238" t="str">
            <v>FRK10</v>
          </cell>
        </row>
        <row r="239">
          <cell r="D239" t="str">
            <v>FRDD0</v>
          </cell>
        </row>
        <row r="240">
          <cell r="D240" t="str">
            <v>FRV30</v>
          </cell>
        </row>
        <row r="241">
          <cell r="D241" t="str">
            <v>FRT70</v>
          </cell>
        </row>
        <row r="242">
          <cell r="D242" t="str">
            <v>FRVU0</v>
          </cell>
        </row>
        <row r="243">
          <cell r="D243" t="str">
            <v>FRVS0</v>
          </cell>
        </row>
        <row r="244">
          <cell r="D244" t="str">
            <v>FR810</v>
          </cell>
        </row>
        <row r="245">
          <cell r="D245" t="str">
            <v>ZF010</v>
          </cell>
        </row>
        <row r="246">
          <cell r="D246" t="str">
            <v>FR650</v>
          </cell>
        </row>
        <row r="247">
          <cell r="D247" t="str">
            <v>FR970</v>
          </cell>
        </row>
        <row r="248">
          <cell r="D248" t="str">
            <v>FRPY0</v>
          </cell>
        </row>
        <row r="249">
          <cell r="D249" t="str">
            <v>FR280</v>
          </cell>
        </row>
        <row r="250">
          <cell r="D250" t="str">
            <v>FRV80</v>
          </cell>
        </row>
        <row r="251">
          <cell r="D251" t="str">
            <v>FR910</v>
          </cell>
        </row>
        <row r="252">
          <cell r="D252" t="str">
            <v>FRZP0</v>
          </cell>
        </row>
        <row r="253">
          <cell r="D253" t="str">
            <v>FRO20</v>
          </cell>
        </row>
        <row r="254">
          <cell r="D254" t="str">
            <v>FRRZ0</v>
          </cell>
        </row>
        <row r="255">
          <cell r="D255" t="str">
            <v>FRX50</v>
          </cell>
        </row>
        <row r="256">
          <cell r="D256" t="str">
            <v>FR8O0</v>
          </cell>
        </row>
        <row r="257">
          <cell r="D257" t="str">
            <v>FRL60</v>
          </cell>
        </row>
        <row r="258">
          <cell r="D258" t="str">
            <v>FRV90</v>
          </cell>
        </row>
        <row r="259">
          <cell r="D259" t="str">
            <v>FRO00</v>
          </cell>
        </row>
        <row r="260">
          <cell r="D260" t="str">
            <v>FR740</v>
          </cell>
        </row>
        <row r="261">
          <cell r="D261" t="str">
            <v>FRB20</v>
          </cell>
        </row>
        <row r="262">
          <cell r="D262" t="str">
            <v>FRT60</v>
          </cell>
        </row>
        <row r="263">
          <cell r="D263" t="str">
            <v>FRSW0</v>
          </cell>
        </row>
        <row r="264">
          <cell r="D264" t="str">
            <v>FRG80</v>
          </cell>
        </row>
        <row r="265">
          <cell r="D265" t="str">
            <v>FRSY0</v>
          </cell>
        </row>
        <row r="266">
          <cell r="D266" t="str">
            <v>FRKE0</v>
          </cell>
        </row>
        <row r="267">
          <cell r="D267" t="str">
            <v>FR6Q0</v>
          </cell>
        </row>
        <row r="268">
          <cell r="D268" t="str">
            <v>FRZ80</v>
          </cell>
        </row>
        <row r="269">
          <cell r="D269" t="str">
            <v>FRT40</v>
          </cell>
        </row>
        <row r="270">
          <cell r="D270" t="str">
            <v>FR6O0</v>
          </cell>
        </row>
        <row r="271">
          <cell r="D271" t="str">
            <v>FR3E0</v>
          </cell>
        </row>
        <row r="272">
          <cell r="D272" t="str">
            <v>FRVT0</v>
          </cell>
        </row>
        <row r="273">
          <cell r="D273" t="str">
            <v>FRZ70</v>
          </cell>
        </row>
        <row r="274">
          <cell r="D274" t="str">
            <v>FRYT0</v>
          </cell>
        </row>
        <row r="275">
          <cell r="D275" t="str">
            <v>ZF280</v>
          </cell>
        </row>
        <row r="276">
          <cell r="D276" t="str">
            <v>ZF290</v>
          </cell>
        </row>
        <row r="277">
          <cell r="D277" t="str">
            <v>ZF610</v>
          </cell>
        </row>
        <row r="278">
          <cell r="D278" t="str">
            <v>ZF720</v>
          </cell>
        </row>
        <row r="279">
          <cell r="D279" t="str">
            <v>ZF730</v>
          </cell>
        </row>
        <row r="280">
          <cell r="D280" t="str">
            <v>ZF740</v>
          </cell>
        </row>
        <row r="281">
          <cell r="D281" t="str">
            <v>ZF750</v>
          </cell>
        </row>
        <row r="282">
          <cell r="D282" t="str">
            <v>FRY40</v>
          </cell>
        </row>
        <row r="283">
          <cell r="D283" t="str">
            <v>FRW00</v>
          </cell>
        </row>
        <row r="284">
          <cell r="D284" t="str">
            <v>FRU30</v>
          </cell>
        </row>
        <row r="285">
          <cell r="D285" t="str">
            <v>FRQ10</v>
          </cell>
        </row>
        <row r="286">
          <cell r="D286" t="str">
            <v>FRA60</v>
          </cell>
        </row>
        <row r="287">
          <cell r="D287" t="str">
            <v>FRA70</v>
          </cell>
        </row>
        <row r="288">
          <cell r="D288" t="str">
            <v>ZF760</v>
          </cell>
        </row>
        <row r="289">
          <cell r="D289" t="str">
            <v>ZF230</v>
          </cell>
        </row>
        <row r="290">
          <cell r="D290" t="str">
            <v>FRT20</v>
          </cell>
        </row>
        <row r="291">
          <cell r="D291" t="str">
            <v>FRHP0</v>
          </cell>
        </row>
        <row r="292">
          <cell r="D292" t="str">
            <v>ZF571</v>
          </cell>
        </row>
        <row r="293">
          <cell r="D293" t="str">
            <v>ZF050</v>
          </cell>
        </row>
        <row r="294">
          <cell r="D294" t="str">
            <v>KFH10</v>
          </cell>
        </row>
        <row r="295">
          <cell r="D295" t="str">
            <v>FRA80</v>
          </cell>
        </row>
        <row r="296">
          <cell r="D296" t="str">
            <v>FR4L0</v>
          </cell>
        </row>
        <row r="297">
          <cell r="D297" t="str">
            <v>FRA90</v>
          </cell>
        </row>
        <row r="298">
          <cell r="D298" t="str">
            <v>ZF660</v>
          </cell>
        </row>
        <row r="299">
          <cell r="D299" t="str">
            <v>FR7G0</v>
          </cell>
        </row>
        <row r="300">
          <cell r="D300" t="str">
            <v>FRYS0</v>
          </cell>
        </row>
        <row r="301">
          <cell r="D301" t="str">
            <v>FR5P0</v>
          </cell>
        </row>
        <row r="302">
          <cell r="D302" t="str">
            <v>FRQ30</v>
          </cell>
        </row>
        <row r="303">
          <cell r="D303" t="str">
            <v>FRLA0</v>
          </cell>
        </row>
        <row r="304">
          <cell r="D304" t="str">
            <v>FRB10</v>
          </cell>
        </row>
        <row r="305">
          <cell r="D305" t="str">
            <v>FR3S0</v>
          </cell>
        </row>
        <row r="306">
          <cell r="D306" t="str">
            <v>FRX10</v>
          </cell>
        </row>
        <row r="307">
          <cell r="D307" t="str">
            <v>FRU70</v>
          </cell>
        </row>
        <row r="308">
          <cell r="D308" t="str">
            <v>FRW20</v>
          </cell>
        </row>
        <row r="309">
          <cell r="D309" t="str">
            <v>FRPM0</v>
          </cell>
        </row>
        <row r="310">
          <cell r="D310" t="str">
            <v>FRI30</v>
          </cell>
        </row>
        <row r="311">
          <cell r="D311" t="str">
            <v>FRYM0</v>
          </cell>
        </row>
        <row r="312">
          <cell r="D312" t="str">
            <v>FR4W0</v>
          </cell>
        </row>
        <row r="313">
          <cell r="D313" t="str">
            <v>FR9D0</v>
          </cell>
        </row>
        <row r="314">
          <cell r="D314" t="str">
            <v>FROS0</v>
          </cell>
        </row>
        <row r="315">
          <cell r="D315" t="str">
            <v>FRF90</v>
          </cell>
        </row>
        <row r="316">
          <cell r="D316" t="str">
            <v>FRH30</v>
          </cell>
        </row>
        <row r="317">
          <cell r="D317" t="str">
            <v>FRG60</v>
          </cell>
        </row>
        <row r="318">
          <cell r="D318" t="str">
            <v>FRB40</v>
          </cell>
        </row>
        <row r="319">
          <cell r="D319" t="str">
            <v>FRP80</v>
          </cell>
        </row>
        <row r="320">
          <cell r="D320" t="str">
            <v>FRS10</v>
          </cell>
        </row>
        <row r="321">
          <cell r="D321" t="str">
            <v>FRW30</v>
          </cell>
        </row>
        <row r="322">
          <cell r="D322" t="str">
            <v>FRS00</v>
          </cell>
        </row>
        <row r="323">
          <cell r="D323" t="str">
            <v>FRQ50</v>
          </cell>
        </row>
        <row r="324">
          <cell r="D324" t="str">
            <v>FR3Q0</v>
          </cell>
        </row>
        <row r="325">
          <cell r="D325" t="str">
            <v>FR8W0</v>
          </cell>
        </row>
        <row r="326">
          <cell r="D326" t="str">
            <v>FRW40</v>
          </cell>
        </row>
        <row r="327">
          <cell r="D327" t="str">
            <v>FR0C0</v>
          </cell>
        </row>
        <row r="328">
          <cell r="D328" t="str">
            <v>FR8M0</v>
          </cell>
        </row>
        <row r="329">
          <cell r="D329" t="str">
            <v>FRM50</v>
          </cell>
        </row>
        <row r="330">
          <cell r="D330" t="str">
            <v>FR4S0</v>
          </cell>
        </row>
        <row r="331">
          <cell r="D331" t="str">
            <v>FRW50</v>
          </cell>
        </row>
        <row r="332">
          <cell r="D332" t="str">
            <v>FR0F0</v>
          </cell>
        </row>
        <row r="333">
          <cell r="D333" t="str">
            <v>FRG70</v>
          </cell>
        </row>
        <row r="334">
          <cell r="D334" t="str">
            <v>FRB50</v>
          </cell>
        </row>
        <row r="335">
          <cell r="D335" t="str">
            <v>FRB60</v>
          </cell>
        </row>
        <row r="336">
          <cell r="D336" t="str">
            <v>FROJ0</v>
          </cell>
        </row>
        <row r="337">
          <cell r="D337" t="str">
            <v>FRB80</v>
          </cell>
        </row>
        <row r="338">
          <cell r="D338" t="str">
            <v>FRT02</v>
          </cell>
        </row>
        <row r="339">
          <cell r="D339" t="str">
            <v>FR990</v>
          </cell>
        </row>
        <row r="340">
          <cell r="D340" t="str">
            <v>FRU20</v>
          </cell>
        </row>
        <row r="341">
          <cell r="D341" t="str">
            <v>FRPF0</v>
          </cell>
        </row>
        <row r="342">
          <cell r="D342" t="str">
            <v>FRB90</v>
          </cell>
        </row>
        <row r="343">
          <cell r="D343" t="str">
            <v>FRC10</v>
          </cell>
        </row>
        <row r="344">
          <cell r="D344" t="str">
            <v>FRT50</v>
          </cell>
        </row>
        <row r="345">
          <cell r="D345" t="str">
            <v>FRXS0</v>
          </cell>
        </row>
        <row r="346">
          <cell r="D346" t="str">
            <v>FRM90</v>
          </cell>
        </row>
        <row r="347">
          <cell r="D347" t="str">
            <v>FRI40</v>
          </cell>
        </row>
        <row r="348">
          <cell r="D348" t="str">
            <v>FRW60</v>
          </cell>
        </row>
        <row r="349">
          <cell r="D349" t="str">
            <v>FRI50</v>
          </cell>
        </row>
        <row r="350">
          <cell r="D350" t="str">
            <v>FR220</v>
          </cell>
        </row>
        <row r="351">
          <cell r="D351" t="str">
            <v>FR1A0</v>
          </cell>
        </row>
        <row r="352">
          <cell r="D352" t="str">
            <v>FRG90</v>
          </cell>
        </row>
        <row r="353">
          <cell r="D353" t="str">
            <v>FRI60</v>
          </cell>
        </row>
        <row r="354">
          <cell r="D354" t="str">
            <v>FRC30</v>
          </cell>
        </row>
        <row r="355">
          <cell r="D355" t="str">
            <v>FRC40</v>
          </cell>
        </row>
        <row r="356">
          <cell r="D356" t="str">
            <v>FRJ90</v>
          </cell>
        </row>
        <row r="357">
          <cell r="D357" t="str">
            <v>FR4E0</v>
          </cell>
        </row>
        <row r="358">
          <cell r="D358" t="str">
            <v>FRV40</v>
          </cell>
        </row>
        <row r="359">
          <cell r="D359" t="str">
            <v>FRPS0</v>
          </cell>
        </row>
        <row r="360">
          <cell r="D360" t="str">
            <v>FRZ40</v>
          </cell>
        </row>
        <row r="361">
          <cell r="D361" t="str">
            <v>FR5K0</v>
          </cell>
        </row>
        <row r="362">
          <cell r="D362" t="str">
            <v>FRC50</v>
          </cell>
        </row>
        <row r="363">
          <cell r="D363" t="str">
            <v>FR3O0</v>
          </cell>
        </row>
        <row r="364">
          <cell r="D364" t="str">
            <v>FRMR0</v>
          </cell>
        </row>
        <row r="365">
          <cell r="D365" t="str">
            <v>FRO30</v>
          </cell>
        </row>
        <row r="366">
          <cell r="D366" t="str">
            <v>FRC60</v>
          </cell>
        </row>
        <row r="367">
          <cell r="D367" t="str">
            <v>FRI70</v>
          </cell>
        </row>
        <row r="368">
          <cell r="D368" t="str">
            <v>FRM60</v>
          </cell>
        </row>
        <row r="369">
          <cell r="D369" t="str">
            <v>FRC80</v>
          </cell>
        </row>
        <row r="370">
          <cell r="D370" t="str">
            <v>FRC90</v>
          </cell>
        </row>
        <row r="371">
          <cell r="D371" t="str">
            <v>FRD10</v>
          </cell>
        </row>
        <row r="372">
          <cell r="D372" t="str">
            <v>FRK20</v>
          </cell>
        </row>
        <row r="373">
          <cell r="D373" t="str">
            <v>FRP60</v>
          </cell>
        </row>
        <row r="374">
          <cell r="D374" t="str">
            <v>FRI80</v>
          </cell>
        </row>
        <row r="375">
          <cell r="D375" t="str">
            <v>FRI90</v>
          </cell>
        </row>
        <row r="376">
          <cell r="D376" t="str">
            <v>FRP70</v>
          </cell>
        </row>
        <row r="377">
          <cell r="D377" t="str">
            <v>FRK30</v>
          </cell>
        </row>
        <row r="378">
          <cell r="D378" t="str">
            <v>FRE00</v>
          </cell>
        </row>
        <row r="379">
          <cell r="D379" t="str">
            <v>FRD30</v>
          </cell>
        </row>
        <row r="380">
          <cell r="D380" t="str">
            <v>FRN40</v>
          </cell>
        </row>
        <row r="381">
          <cell r="D381" t="str">
            <v>FRK60</v>
          </cell>
        </row>
        <row r="382">
          <cell r="D382" t="str">
            <v>FR0R0</v>
          </cell>
        </row>
        <row r="383">
          <cell r="D383" t="str">
            <v>FRM00</v>
          </cell>
        </row>
        <row r="384">
          <cell r="D384" t="str">
            <v>FR8R0</v>
          </cell>
        </row>
        <row r="385">
          <cell r="D385" t="str">
            <v>FRM70</v>
          </cell>
        </row>
        <row r="386">
          <cell r="D386" t="str">
            <v>FRG20</v>
          </cell>
        </row>
        <row r="387">
          <cell r="D387" t="str">
            <v>FR7C0</v>
          </cell>
        </row>
        <row r="388">
          <cell r="D388" t="str">
            <v>FRO70</v>
          </cell>
        </row>
        <row r="389">
          <cell r="D389" t="str">
            <v>FR1H0</v>
          </cell>
        </row>
        <row r="390">
          <cell r="D390" t="str">
            <v>FRD40</v>
          </cell>
        </row>
        <row r="391">
          <cell r="D391" t="str">
            <v>FRD50</v>
          </cell>
        </row>
        <row r="392">
          <cell r="D392" t="str">
            <v>FRZ50</v>
          </cell>
        </row>
        <row r="393">
          <cell r="D393" t="str">
            <v>FR5N0</v>
          </cell>
        </row>
        <row r="394">
          <cell r="D394" t="str">
            <v>FRP50</v>
          </cell>
        </row>
        <row r="395">
          <cell r="D395" t="str">
            <v>FR830</v>
          </cell>
        </row>
        <row r="396">
          <cell r="D396" t="str">
            <v>FRD60</v>
          </cell>
        </row>
        <row r="397">
          <cell r="D397" t="str">
            <v>FRY50</v>
          </cell>
        </row>
        <row r="398">
          <cell r="D398" t="str">
            <v>FR6L0</v>
          </cell>
        </row>
        <row r="399">
          <cell r="D399" t="str">
            <v>FRY60</v>
          </cell>
        </row>
        <row r="400">
          <cell r="D400" t="str">
            <v>FR4J0</v>
          </cell>
        </row>
        <row r="401">
          <cell r="D401" t="str">
            <v>FRV10</v>
          </cell>
        </row>
        <row r="402">
          <cell r="D402" t="str">
            <v>FR6E0</v>
          </cell>
        </row>
        <row r="403">
          <cell r="D403" t="str">
            <v>FR0N0</v>
          </cell>
        </row>
        <row r="404">
          <cell r="D404" t="str">
            <v>CP010</v>
          </cell>
        </row>
        <row r="405">
          <cell r="D405" t="str">
            <v>FRJ10</v>
          </cell>
        </row>
        <row r="406">
          <cell r="D406" t="str">
            <v>FRD70</v>
          </cell>
        </row>
        <row r="407">
          <cell r="D407" t="str">
            <v>FRJ20</v>
          </cell>
        </row>
        <row r="408">
          <cell r="D408" t="str">
            <v>FRX20</v>
          </cell>
        </row>
        <row r="409">
          <cell r="D409" t="str">
            <v>FRD80</v>
          </cell>
        </row>
        <row r="410">
          <cell r="D410" t="str">
            <v>FRW70</v>
          </cell>
        </row>
        <row r="411">
          <cell r="D411" t="str">
            <v>FR7F0</v>
          </cell>
        </row>
        <row r="412">
          <cell r="D412" t="str">
            <v>FR0L0</v>
          </cell>
        </row>
        <row r="413">
          <cell r="D413" t="str">
            <v>FRU10</v>
          </cell>
        </row>
        <row r="414">
          <cell r="D414" t="str">
            <v>FR980</v>
          </cell>
        </row>
        <row r="415">
          <cell r="D415" t="str">
            <v>FR4R0</v>
          </cell>
        </row>
        <row r="416">
          <cell r="D416" t="str">
            <v>ZF030</v>
          </cell>
        </row>
        <row r="417">
          <cell r="D417" t="str">
            <v>FR920</v>
          </cell>
        </row>
        <row r="418">
          <cell r="D418" t="str">
            <v>FRSX0</v>
          </cell>
        </row>
        <row r="419">
          <cell r="D419" t="str">
            <v>FRS50</v>
          </cell>
        </row>
        <row r="420">
          <cell r="D420" t="str">
            <v>FRE10</v>
          </cell>
        </row>
        <row r="421">
          <cell r="D421" t="str">
            <v>FREM0</v>
          </cell>
        </row>
        <row r="422">
          <cell r="D422" t="str">
            <v>FR0S0</v>
          </cell>
        </row>
        <row r="423">
          <cell r="D423" t="str">
            <v>FR550</v>
          </cell>
        </row>
        <row r="424">
          <cell r="D424" t="str">
            <v>FR4U0</v>
          </cell>
        </row>
        <row r="425">
          <cell r="D425" t="str">
            <v>FR5I0</v>
          </cell>
        </row>
        <row r="426">
          <cell r="D426" t="str">
            <v>FR4H0</v>
          </cell>
        </row>
        <row r="427">
          <cell r="D427" t="str">
            <v>FR200</v>
          </cell>
        </row>
        <row r="428">
          <cell r="D428" t="str">
            <v>FRJ30</v>
          </cell>
        </row>
        <row r="429">
          <cell r="D429" t="str">
            <v>FRE20</v>
          </cell>
        </row>
        <row r="430">
          <cell r="D430" t="str">
            <v>FR1N0</v>
          </cell>
        </row>
        <row r="431">
          <cell r="D431" t="str">
            <v>FR1W0</v>
          </cell>
        </row>
        <row r="432">
          <cell r="D432" t="str">
            <v>FR0E0</v>
          </cell>
        </row>
        <row r="433">
          <cell r="D433" t="str">
            <v>FR5H0</v>
          </cell>
        </row>
        <row r="434">
          <cell r="D434" t="str">
            <v>FRPH0</v>
          </cell>
        </row>
        <row r="435">
          <cell r="D435" t="str">
            <v>FR3W0</v>
          </cell>
        </row>
        <row r="436">
          <cell r="D436" t="str">
            <v>FRW90</v>
          </cell>
        </row>
        <row r="437">
          <cell r="D437" t="str">
            <v>FRT90</v>
          </cell>
        </row>
        <row r="438">
          <cell r="D438" t="str">
            <v>FR4C0</v>
          </cell>
        </row>
        <row r="439">
          <cell r="D439" t="str">
            <v>FRS30</v>
          </cell>
        </row>
        <row r="440">
          <cell r="D440" t="str">
            <v>FRE40</v>
          </cell>
        </row>
        <row r="441">
          <cell r="D441" t="str">
            <v>FRE50</v>
          </cell>
        </row>
        <row r="442">
          <cell r="D442" t="str">
            <v>FR760</v>
          </cell>
        </row>
        <row r="443">
          <cell r="D443" t="str">
            <v>FRY80</v>
          </cell>
        </row>
        <row r="444">
          <cell r="D444" t="str">
            <v>FR5G0</v>
          </cell>
        </row>
        <row r="445">
          <cell r="D445" t="str">
            <v>FRO40</v>
          </cell>
        </row>
        <row r="446">
          <cell r="D446" t="str">
            <v>FRAJ0</v>
          </cell>
        </row>
        <row r="447">
          <cell r="D447" t="str">
            <v>FRKZ0</v>
          </cell>
        </row>
        <row r="448">
          <cell r="D448" t="str">
            <v>FRAC0</v>
          </cell>
        </row>
        <row r="449">
          <cell r="D449" t="str">
            <v>FRR50</v>
          </cell>
        </row>
        <row r="450">
          <cell r="D450" t="str">
            <v>FRG30</v>
          </cell>
        </row>
        <row r="451">
          <cell r="D451" t="str">
            <v>FR0W0</v>
          </cell>
        </row>
        <row r="452">
          <cell r="D452" t="str">
            <v>FRDI0</v>
          </cell>
        </row>
        <row r="453">
          <cell r="D453" t="str">
            <v>FRX80</v>
          </cell>
        </row>
        <row r="454">
          <cell r="D454" t="str">
            <v>FR7K0</v>
          </cell>
        </row>
        <row r="455">
          <cell r="D455" t="str">
            <v>FR3R0</v>
          </cell>
        </row>
        <row r="456">
          <cell r="D456" t="str">
            <v>FRX90</v>
          </cell>
        </row>
        <row r="457">
          <cell r="D457" t="str">
            <v>FR2Y0</v>
          </cell>
        </row>
        <row r="458">
          <cell r="D458" t="str">
            <v>FR3V0</v>
          </cell>
        </row>
        <row r="459">
          <cell r="D459" t="str">
            <v>FRF60</v>
          </cell>
        </row>
        <row r="460">
          <cell r="D460" t="str">
            <v>FRX70</v>
          </cell>
        </row>
        <row r="461">
          <cell r="D461" t="str">
            <v>FR9Z0</v>
          </cell>
        </row>
        <row r="462">
          <cell r="D462" t="str">
            <v>FR770</v>
          </cell>
        </row>
        <row r="463">
          <cell r="D463" t="str">
            <v>FRRT0</v>
          </cell>
        </row>
        <row r="464">
          <cell r="D464" t="str">
            <v>FR850</v>
          </cell>
        </row>
        <row r="465">
          <cell r="D465" t="str">
            <v>FRY20</v>
          </cell>
        </row>
        <row r="466">
          <cell r="D466" t="str">
            <v>FR690</v>
          </cell>
        </row>
        <row r="467">
          <cell r="D467" t="str">
            <v>FRS90</v>
          </cell>
        </row>
        <row r="468">
          <cell r="D468" t="str">
            <v>FRT00</v>
          </cell>
        </row>
        <row r="469">
          <cell r="D469" t="str">
            <v>FRR10</v>
          </cell>
        </row>
        <row r="470">
          <cell r="D470" t="str">
            <v>FR8T0</v>
          </cell>
        </row>
        <row r="471">
          <cell r="D471" t="str">
            <v>FR3L0</v>
          </cell>
        </row>
        <row r="472">
          <cell r="D472" t="str">
            <v>FRNN0</v>
          </cell>
        </row>
        <row r="473">
          <cell r="D473" t="str">
            <v>FRP10</v>
          </cell>
        </row>
        <row r="474">
          <cell r="D474" t="str">
            <v>FRZ60</v>
          </cell>
        </row>
        <row r="475">
          <cell r="D475" t="str">
            <v>FR9V0</v>
          </cell>
        </row>
        <row r="476">
          <cell r="D476" t="str">
            <v>FR6P0</v>
          </cell>
        </row>
        <row r="477">
          <cell r="D477" t="str">
            <v>FROZ0</v>
          </cell>
        </row>
        <row r="478">
          <cell r="D478" t="str">
            <v>FRK00</v>
          </cell>
        </row>
        <row r="479">
          <cell r="D479" t="str">
            <v>FR9Q0</v>
          </cell>
        </row>
        <row r="480">
          <cell r="D480" t="str">
            <v>FRF40</v>
          </cell>
        </row>
        <row r="481">
          <cell r="D481" t="str">
            <v>FR5L0</v>
          </cell>
        </row>
        <row r="482">
          <cell r="D482" t="str">
            <v>FR680</v>
          </cell>
        </row>
        <row r="483">
          <cell r="D483" t="str">
            <v>ZF680</v>
          </cell>
        </row>
        <row r="484">
          <cell r="D484" t="str">
            <v>FR0I0</v>
          </cell>
        </row>
        <row r="485">
          <cell r="D485" t="str">
            <v>FRH20</v>
          </cell>
        </row>
        <row r="486">
          <cell r="D486" t="str">
            <v>FRE60</v>
          </cell>
        </row>
        <row r="487">
          <cell r="D487" t="str">
            <v>FRG40</v>
          </cell>
        </row>
        <row r="488">
          <cell r="D488" t="str">
            <v>FRV50</v>
          </cell>
        </row>
        <row r="489">
          <cell r="D489" t="str">
            <v>FRGO0</v>
          </cell>
        </row>
        <row r="490">
          <cell r="D490" t="str">
            <v>FRFO0</v>
          </cell>
        </row>
        <row r="491">
          <cell r="D491" t="str">
            <v>ZF650</v>
          </cell>
        </row>
        <row r="492">
          <cell r="D492" t="str">
            <v>FR0K0</v>
          </cell>
        </row>
        <row r="493">
          <cell r="D493" t="str">
            <v>FRDO0</v>
          </cell>
        </row>
        <row r="494">
          <cell r="D494" t="str">
            <v>FRVE0</v>
          </cell>
        </row>
        <row r="495">
          <cell r="D495" t="str">
            <v>FRS20</v>
          </cell>
        </row>
        <row r="496">
          <cell r="D496" t="str">
            <v>FRAD0</v>
          </cell>
        </row>
        <row r="497">
          <cell r="D497" t="str">
            <v>FR2J0</v>
          </cell>
        </row>
        <row r="498">
          <cell r="D498" t="str">
            <v>FRE30</v>
          </cell>
        </row>
        <row r="499">
          <cell r="D499" t="str">
            <v>FRL10</v>
          </cell>
        </row>
        <row r="500">
          <cell r="D500" t="str">
            <v>FRY10</v>
          </cell>
        </row>
        <row r="501">
          <cell r="D501" t="str">
            <v>FRK80</v>
          </cell>
        </row>
        <row r="502">
          <cell r="D502" t="str">
            <v>FR1J0</v>
          </cell>
        </row>
        <row r="503">
          <cell r="D503" t="str">
            <v>FRK90</v>
          </cell>
        </row>
        <row r="504">
          <cell r="D504" t="str">
            <v>FRK70</v>
          </cell>
        </row>
        <row r="505">
          <cell r="D505" t="str">
            <v>FRE80</v>
          </cell>
        </row>
        <row r="506">
          <cell r="D506" t="str">
            <v>FRX60</v>
          </cell>
        </row>
        <row r="507">
          <cell r="D507" t="str">
            <v>FRR60</v>
          </cell>
        </row>
        <row r="508">
          <cell r="D508" t="str">
            <v>FR3Y0</v>
          </cell>
        </row>
        <row r="509">
          <cell r="D509" t="str">
            <v>FRT10</v>
          </cell>
        </row>
        <row r="510">
          <cell r="D510" t="str">
            <v>FRR00</v>
          </cell>
        </row>
        <row r="511">
          <cell r="D511" t="str">
            <v>FR880</v>
          </cell>
        </row>
        <row r="512">
          <cell r="D512" t="str">
            <v>FR9C0</v>
          </cell>
        </row>
        <row r="513">
          <cell r="D513" t="str">
            <v>FRG50</v>
          </cell>
        </row>
        <row r="514">
          <cell r="D514" t="str">
            <v>FRP90</v>
          </cell>
        </row>
        <row r="515">
          <cell r="D515" t="str">
            <v>FRX30</v>
          </cell>
        </row>
        <row r="516">
          <cell r="D516" t="str">
            <v>FRUA0</v>
          </cell>
        </row>
        <row r="517">
          <cell r="D517" t="str">
            <v>FRF10</v>
          </cell>
        </row>
        <row r="518">
          <cell r="D518" t="str">
            <v>FRU60</v>
          </cell>
        </row>
        <row r="519">
          <cell r="D519" t="str">
            <v>FRJ40</v>
          </cell>
        </row>
        <row r="520">
          <cell r="D520" t="str">
            <v>FR7D0</v>
          </cell>
        </row>
        <row r="521">
          <cell r="D521" t="str">
            <v>FRF20</v>
          </cell>
        </row>
        <row r="522">
          <cell r="D522" t="str">
            <v>FRU40</v>
          </cell>
        </row>
        <row r="523">
          <cell r="D523" t="str">
            <v>FRS40</v>
          </cell>
        </row>
        <row r="524">
          <cell r="D524" t="str">
            <v>FRU50</v>
          </cell>
        </row>
        <row r="525">
          <cell r="D525" t="str">
            <v>FRQ20</v>
          </cell>
        </row>
        <row r="526">
          <cell r="D526" t="str">
            <v>FRM80</v>
          </cell>
        </row>
        <row r="527">
          <cell r="D527" t="str">
            <v>FRX40</v>
          </cell>
        </row>
        <row r="528">
          <cell r="D528" t="str">
            <v>FRJ50</v>
          </cell>
        </row>
        <row r="529">
          <cell r="D529" t="str">
            <v>FRF50</v>
          </cell>
        </row>
        <row r="530">
          <cell r="D530" t="str">
            <v>FRD00</v>
          </cell>
        </row>
        <row r="531">
          <cell r="D531" t="str">
            <v>FRB00</v>
          </cell>
        </row>
        <row r="532">
          <cell r="D532" t="str">
            <v>FRYH0</v>
          </cell>
        </row>
        <row r="533">
          <cell r="D533" t="str">
            <v>FR3U0</v>
          </cell>
        </row>
        <row r="534">
          <cell r="D534" t="str">
            <v>FRD90</v>
          </cell>
        </row>
        <row r="535">
          <cell r="D535" t="str">
            <v>FR0Z0</v>
          </cell>
        </row>
        <row r="536">
          <cell r="D536" t="str">
            <v>FR9O0</v>
          </cell>
        </row>
        <row r="537">
          <cell r="D537" t="str">
            <v>FR0O0</v>
          </cell>
        </row>
        <row r="538">
          <cell r="D538" t="str">
            <v>FRY00</v>
          </cell>
        </row>
        <row r="539">
          <cell r="D539" t="str">
            <v>FRXH0</v>
          </cell>
        </row>
        <row r="540">
          <cell r="D540" t="str">
            <v>FRJ70</v>
          </cell>
        </row>
        <row r="541">
          <cell r="D541" t="str">
            <v>FRE90</v>
          </cell>
        </row>
        <row r="542">
          <cell r="D542" t="str">
            <v>FRAB0</v>
          </cell>
        </row>
        <row r="543">
          <cell r="D543" t="str">
            <v>FR3T0</v>
          </cell>
        </row>
        <row r="544">
          <cell r="D544" t="str">
            <v>FR3X0</v>
          </cell>
        </row>
        <row r="545">
          <cell r="D545" t="str">
            <v>FRH10</v>
          </cell>
        </row>
        <row r="546">
          <cell r="D546" t="str">
            <v>FRH80</v>
          </cell>
        </row>
        <row r="547">
          <cell r="D547" t="str">
            <v>FRE70</v>
          </cell>
        </row>
        <row r="548">
          <cell r="D548" t="str">
            <v>FR520</v>
          </cell>
        </row>
        <row r="549">
          <cell r="D549" t="str">
            <v>FR0G0</v>
          </cell>
        </row>
        <row r="550">
          <cell r="D550" t="str">
            <v>FRVF0</v>
          </cell>
        </row>
        <row r="551">
          <cell r="D551" t="str">
            <v>FRW80</v>
          </cell>
        </row>
        <row r="552">
          <cell r="D552" t="str">
            <v>FRJ80</v>
          </cell>
        </row>
        <row r="553">
          <cell r="D553" t="str">
            <v>FRLD0</v>
          </cell>
        </row>
        <row r="554">
          <cell r="D554" t="str">
            <v>FRZ30</v>
          </cell>
        </row>
        <row r="555">
          <cell r="D555" t="str">
            <v>FRTY0</v>
          </cell>
        </row>
        <row r="556">
          <cell r="D556" t="str">
            <v>FR2L0</v>
          </cell>
        </row>
        <row r="557">
          <cell r="D557" t="str">
            <v>FRF30</v>
          </cell>
        </row>
        <row r="558">
          <cell r="D558" t="str">
            <v>HK010</v>
          </cell>
        </row>
        <row r="559">
          <cell r="D559" t="str">
            <v>HK020</v>
          </cell>
        </row>
        <row r="560">
          <cell r="D560" t="str">
            <v>IN010</v>
          </cell>
        </row>
        <row r="561">
          <cell r="D561" t="str">
            <v>IN020</v>
          </cell>
        </row>
        <row r="562">
          <cell r="D562" t="str">
            <v>IR010</v>
          </cell>
        </row>
        <row r="563">
          <cell r="D563" t="str">
            <v>IT770</v>
          </cell>
        </row>
        <row r="564">
          <cell r="D564" t="str">
            <v>IT740</v>
          </cell>
        </row>
        <row r="565">
          <cell r="D565" t="str">
            <v>IT100</v>
          </cell>
        </row>
        <row r="566">
          <cell r="D566" t="str">
            <v>IT400</v>
          </cell>
        </row>
        <row r="567">
          <cell r="D567" t="str">
            <v>IT920</v>
          </cell>
        </row>
        <row r="568">
          <cell r="D568" t="str">
            <v>IT860</v>
          </cell>
        </row>
        <row r="569">
          <cell r="D569" t="str">
            <v>IT750</v>
          </cell>
        </row>
        <row r="570">
          <cell r="D570" t="str">
            <v>IT870</v>
          </cell>
        </row>
        <row r="571">
          <cell r="D571" t="str">
            <v>IT880</v>
          </cell>
        </row>
        <row r="572">
          <cell r="D572" t="str">
            <v>IT930</v>
          </cell>
        </row>
        <row r="573">
          <cell r="D573" t="str">
            <v>IT900</v>
          </cell>
        </row>
        <row r="574">
          <cell r="D574" t="str">
            <v>IT910</v>
          </cell>
        </row>
        <row r="575">
          <cell r="D575" t="str">
            <v>IT890</v>
          </cell>
        </row>
        <row r="576">
          <cell r="D576" t="str">
            <v>IT410</v>
          </cell>
        </row>
        <row r="577">
          <cell r="D577" t="str">
            <v>ITA40</v>
          </cell>
        </row>
        <row r="578">
          <cell r="D578" t="str">
            <v>ITA50</v>
          </cell>
        </row>
        <row r="579">
          <cell r="D579" t="str">
            <v>IT070</v>
          </cell>
        </row>
        <row r="580">
          <cell r="D580" t="str">
            <v>IT950</v>
          </cell>
        </row>
        <row r="581">
          <cell r="D581" t="str">
            <v>IT940</v>
          </cell>
        </row>
        <row r="582">
          <cell r="D582" t="str">
            <v>IT830</v>
          </cell>
        </row>
        <row r="583">
          <cell r="D583" t="str">
            <v>IT960</v>
          </cell>
        </row>
        <row r="584">
          <cell r="D584" t="str">
            <v>ITA30</v>
          </cell>
        </row>
        <row r="585">
          <cell r="D585" t="str">
            <v>IT820</v>
          </cell>
        </row>
        <row r="586">
          <cell r="D586" t="str">
            <v>IT020</v>
          </cell>
        </row>
        <row r="587">
          <cell r="D587" t="str">
            <v>FRBO0</v>
          </cell>
        </row>
        <row r="588">
          <cell r="D588" t="str">
            <v>LU020</v>
          </cell>
        </row>
        <row r="589">
          <cell r="D589" t="str">
            <v>PL020</v>
          </cell>
        </row>
        <row r="590">
          <cell r="D590" t="str">
            <v>PL200</v>
          </cell>
        </row>
        <row r="591">
          <cell r="D591" t="str">
            <v>PL100</v>
          </cell>
        </row>
        <row r="592">
          <cell r="D592" t="str">
            <v>PL110</v>
          </cell>
        </row>
        <row r="593">
          <cell r="D593" t="str">
            <v>PL140</v>
          </cell>
        </row>
        <row r="594">
          <cell r="D594" t="str">
            <v>PL130</v>
          </cell>
        </row>
        <row r="595">
          <cell r="D595" t="str">
            <v>PL300</v>
          </cell>
        </row>
        <row r="596">
          <cell r="D596" t="str">
            <v>RO030</v>
          </cell>
        </row>
        <row r="597">
          <cell r="D597" t="str">
            <v>RO130</v>
          </cell>
        </row>
        <row r="598">
          <cell r="D598" t="str">
            <v>RO080</v>
          </cell>
        </row>
        <row r="599">
          <cell r="D599" t="str">
            <v>RO140</v>
          </cell>
        </row>
        <row r="600">
          <cell r="D600" t="str">
            <v>RO070</v>
          </cell>
        </row>
        <row r="601">
          <cell r="D601" t="str">
            <v>RO040</v>
          </cell>
        </row>
        <row r="602">
          <cell r="D602" t="str">
            <v>RO120</v>
          </cell>
        </row>
        <row r="603">
          <cell r="D603" t="str">
            <v>RO110</v>
          </cell>
        </row>
        <row r="604">
          <cell r="D604" t="str">
            <v>RO100</v>
          </cell>
        </row>
        <row r="605">
          <cell r="D605" t="str">
            <v>RO090</v>
          </cell>
        </row>
        <row r="606">
          <cell r="D606" t="str">
            <v>TR011</v>
          </cell>
        </row>
        <row r="607">
          <cell r="D607" t="str">
            <v>TU010</v>
          </cell>
        </row>
        <row r="608">
          <cell r="D608" t="str">
            <v>TW030</v>
          </cell>
        </row>
        <row r="609">
          <cell r="D609" t="str">
            <v>TW070</v>
          </cell>
        </row>
        <row r="610">
          <cell r="D610" t="str">
            <v>TW060</v>
          </cell>
        </row>
        <row r="611">
          <cell r="D611" t="str">
            <v>TW010</v>
          </cell>
        </row>
        <row r="612">
          <cell r="D612" t="str">
            <v>ZB050</v>
          </cell>
        </row>
        <row r="613">
          <cell r="D613" t="str">
            <v>ZB060</v>
          </cell>
        </row>
        <row r="614">
          <cell r="D614" t="str">
            <v>ZB080</v>
          </cell>
        </row>
        <row r="615">
          <cell r="D615" t="str">
            <v>ZC010</v>
          </cell>
        </row>
        <row r="616">
          <cell r="D616" t="str">
            <v>ZC020</v>
          </cell>
        </row>
        <row r="617">
          <cell r="D617" t="str">
            <v>ZC030</v>
          </cell>
        </row>
        <row r="618">
          <cell r="D618" t="str">
            <v>FR1T0</v>
          </cell>
        </row>
        <row r="619">
          <cell r="D619" t="str">
            <v>FRPE0</v>
          </cell>
        </row>
        <row r="620">
          <cell r="D620" t="str">
            <v>FRLM0</v>
          </cell>
        </row>
        <row r="621">
          <cell r="D621" t="str">
            <v>FR2B0</v>
          </cell>
        </row>
        <row r="622">
          <cell r="D622" t="str">
            <v>FRQ40</v>
          </cell>
        </row>
        <row r="623">
          <cell r="D623" t="str">
            <v>FRR70</v>
          </cell>
        </row>
        <row r="624">
          <cell r="D624" t="str">
            <v>FR0V0</v>
          </cell>
        </row>
        <row r="625">
          <cell r="D625" t="str">
            <v>FR0Q0</v>
          </cell>
        </row>
        <row r="626">
          <cell r="D626" t="str">
            <v>FRUC0</v>
          </cell>
        </row>
        <row r="627">
          <cell r="D627" t="str">
            <v>FRZ00</v>
          </cell>
        </row>
        <row r="628">
          <cell r="D628" t="str">
            <v>FRZ10</v>
          </cell>
        </row>
        <row r="629">
          <cell r="D629" t="str">
            <v>FRCO0</v>
          </cell>
        </row>
        <row r="630">
          <cell r="D630" t="str">
            <v>FRF80</v>
          </cell>
        </row>
        <row r="631">
          <cell r="D631" t="str">
            <v>FRC00</v>
          </cell>
        </row>
        <row r="632">
          <cell r="D632" t="str">
            <v>FR1O0</v>
          </cell>
        </row>
        <row r="633">
          <cell r="D633" t="str">
            <v>FR1I0</v>
          </cell>
        </row>
        <row r="634">
          <cell r="D634" t="str">
            <v>FRXG0</v>
          </cell>
        </row>
        <row r="635">
          <cell r="D635" t="str">
            <v>FR4O0</v>
          </cell>
        </row>
        <row r="636">
          <cell r="D636" t="str">
            <v>FR020</v>
          </cell>
        </row>
        <row r="637">
          <cell r="D637" t="str">
            <v>FRUL0</v>
          </cell>
        </row>
        <row r="638">
          <cell r="D638" t="str">
            <v>ZH010</v>
          </cell>
        </row>
        <row r="639">
          <cell r="D639" t="str">
            <v>CN760</v>
          </cell>
        </row>
        <row r="640">
          <cell r="D640" t="str">
            <v>ZN820</v>
          </cell>
        </row>
        <row r="641">
          <cell r="D641" t="str">
            <v>ZN020</v>
          </cell>
        </row>
        <row r="642">
          <cell r="D642" t="str">
            <v>ZN010</v>
          </cell>
        </row>
        <row r="643">
          <cell r="D643" t="str">
            <v>ZN240</v>
          </cell>
        </row>
        <row r="644">
          <cell r="D644" t="str">
            <v>ZN200</v>
          </cell>
        </row>
        <row r="645">
          <cell r="D645" t="str">
            <v>ZN100</v>
          </cell>
        </row>
        <row r="646">
          <cell r="D646" t="str">
            <v>ZN830</v>
          </cell>
        </row>
        <row r="647">
          <cell r="D647" t="str">
            <v>ZN070</v>
          </cell>
        </row>
        <row r="648">
          <cell r="D648" t="str">
            <v>ZN190</v>
          </cell>
        </row>
        <row r="649">
          <cell r="D649" t="str">
            <v>ZN160</v>
          </cell>
        </row>
      </sheetData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election"/>
      <sheetName val="Functioning"/>
      <sheetName val="TB"/>
      <sheetName val="TB Sector"/>
      <sheetName val="TB Perimetre"/>
      <sheetName val="TB Perimetre (LC)"/>
      <sheetName val="P&amp;L Quarter"/>
      <sheetName val="Expansion-Hyper"/>
      <sheetName val="Expansion-Country"/>
      <sheetName val="TFI"/>
      <sheetName val="FIN"/>
      <sheetName val="Calcul ROCE"/>
      <sheetName val="Synthesis 2007-2010"/>
      <sheetName val="PGC"/>
      <sheetName val="NON-Food"/>
      <sheetName val="FID"/>
      <sheetName val="Services"/>
      <sheetName val="Synth Programs"/>
      <sheetName val="Graph by sector"/>
      <sheetName val="D2 vs Réel"/>
      <sheetName val="Stores &amp; m2"/>
      <sheetName val="Planning m2"/>
      <sheetName val="Distribution Costs"/>
      <sheetName val="Head Office Costs"/>
      <sheetName val="Projects"/>
      <sheetName val="DCvsCA"/>
      <sheetName val="P&amp;L"/>
      <sheetName val="P&amp;L (Format)"/>
      <sheetName val="P&amp;L (Quarter)"/>
      <sheetName val="Delta by Format"/>
      <sheetName val="Sales variation"/>
      <sheetName val="LFL Variation"/>
      <sheetName val="Margin Variation"/>
      <sheetName val="Costs variation"/>
      <sheetName val="LFL Sector"/>
      <sheetName val="DC"/>
      <sheetName val="Cont.Sector"/>
      <sheetName val="MT"/>
      <sheetName val="Capex"/>
      <sheetName val="Planning Capex"/>
      <sheetName val="TAFI"/>
      <sheetName val="Other incomes"/>
      <sheetName val="Non current result"/>
      <sheetName val="Financial result"/>
      <sheetName val="NIGS"/>
      <sheetName val="Variation ROCE"/>
      <sheetName val="TB_Sector"/>
      <sheetName val="TB_Perimetre"/>
      <sheetName val="TB_Perimetre_(LC)"/>
      <sheetName val="P&amp;L_Quarter"/>
      <sheetName val="Calcul_ROCE"/>
      <sheetName val="Synthesis_2007-2010"/>
      <sheetName val="Synth_Programs"/>
      <sheetName val="Graph_by_sector"/>
      <sheetName val="D2_vs_Réel"/>
      <sheetName val="Stores_&amp;_m2"/>
      <sheetName val="Planning_m2"/>
      <sheetName val="Distribution_Costs"/>
      <sheetName val="Head_Office_Costs"/>
      <sheetName val="P&amp;L_(Format)"/>
      <sheetName val="P&amp;L_(Quarter)"/>
      <sheetName val="Delta_by_Format"/>
      <sheetName val="Sales_variation"/>
      <sheetName val="LFL_Variation"/>
      <sheetName val="Margin_Variation"/>
      <sheetName val="Costs_variation"/>
      <sheetName val="LFL_Sector"/>
      <sheetName val="Cont_Sector"/>
      <sheetName val="Planning_Capex"/>
      <sheetName val="Other_incomes"/>
      <sheetName val="Non_current_result"/>
      <sheetName val="Financial_result"/>
      <sheetName val="Variation_ROCE"/>
    </sheetNames>
    <sheetDataSet>
      <sheetData sheetId="0" refreshError="1">
        <row r="1">
          <cell r="F1" t="str">
            <v>hypdg.thales.carrefour.com</v>
          </cell>
        </row>
        <row r="5">
          <cell r="F5" t="str">
            <v>PLAN</v>
          </cell>
        </row>
      </sheetData>
      <sheetData sheetId="1" refreshError="1"/>
      <sheetData sheetId="2" refreshError="1"/>
      <sheetData sheetId="3" refreshError="1">
        <row r="10">
          <cell r="E10" t="str">
            <v>Taiwan</v>
          </cell>
          <cell r="H10" t="str">
            <v>Taiwan</v>
          </cell>
          <cell r="K10" t="str">
            <v>Taiwan</v>
          </cell>
          <cell r="N10" t="str">
            <v>Taiwan</v>
          </cell>
          <cell r="Q10" t="str">
            <v>Taiwan</v>
          </cell>
          <cell r="T10" t="str">
            <v>Taiwan</v>
          </cell>
          <cell r="AA10" t="str">
            <v>Taiwan</v>
          </cell>
          <cell r="AD10" t="str">
            <v>Taiwan</v>
          </cell>
          <cell r="AG10" t="str">
            <v>Taiwan</v>
          </cell>
          <cell r="AJ10" t="str">
            <v>Taiwan</v>
          </cell>
          <cell r="AM10" t="str">
            <v>Taiwan</v>
          </cell>
          <cell r="AP10" t="str">
            <v>Taiwan</v>
          </cell>
          <cell r="AW10" t="str">
            <v>Taiwan</v>
          </cell>
          <cell r="AZ10" t="str">
            <v>Taiwan</v>
          </cell>
          <cell r="BC10" t="str">
            <v>Taiwan</v>
          </cell>
          <cell r="BF10" t="str">
            <v>Taiwan</v>
          </cell>
          <cell r="BI10" t="str">
            <v>Taiwan</v>
          </cell>
          <cell r="BL10" t="str">
            <v>Taiwan</v>
          </cell>
          <cell r="BS10" t="str">
            <v>Taiwan</v>
          </cell>
          <cell r="BV10" t="str">
            <v>Taiwan</v>
          </cell>
          <cell r="BY10" t="str">
            <v>Taiwan</v>
          </cell>
          <cell r="CB10" t="str">
            <v>Taiwan</v>
          </cell>
          <cell r="CE10" t="str">
            <v>Taiwan</v>
          </cell>
          <cell r="CH10" t="str">
            <v>Taiwan</v>
          </cell>
          <cell r="CO10" t="str">
            <v>Taiwan</v>
          </cell>
          <cell r="CR10" t="str">
            <v>Taiwan</v>
          </cell>
          <cell r="CU10" t="str">
            <v>Taiwan</v>
          </cell>
          <cell r="CX10" t="str">
            <v>Taiwan</v>
          </cell>
          <cell r="DA10" t="str">
            <v>Taiwan</v>
          </cell>
          <cell r="DD10" t="str">
            <v>Taiwan</v>
          </cell>
          <cell r="DK10" t="str">
            <v>Taiwan</v>
          </cell>
          <cell r="DN10" t="str">
            <v>Taiwan</v>
          </cell>
          <cell r="DQ10" t="str">
            <v>Taiwan</v>
          </cell>
          <cell r="DT10" t="str">
            <v>Taiwan</v>
          </cell>
          <cell r="DW10" t="str">
            <v>Taiwan</v>
          </cell>
          <cell r="DZ10" t="str">
            <v>Taiwan</v>
          </cell>
        </row>
        <row r="11">
          <cell r="E11" t="str">
            <v>Year in LC</v>
          </cell>
          <cell r="H11" t="str">
            <v>Year in LC</v>
          </cell>
          <cell r="K11" t="str">
            <v>Year in LC</v>
          </cell>
          <cell r="N11" t="str">
            <v>Year in LC</v>
          </cell>
          <cell r="Q11" t="str">
            <v>Year in LC</v>
          </cell>
          <cell r="T11" t="str">
            <v>Year in LC</v>
          </cell>
          <cell r="AA11" t="str">
            <v>Year in LC</v>
          </cell>
          <cell r="AD11" t="str">
            <v>Year in LC</v>
          </cell>
          <cell r="AG11" t="str">
            <v>Year in LC</v>
          </cell>
          <cell r="AJ11" t="str">
            <v>Year in LC</v>
          </cell>
          <cell r="AM11" t="str">
            <v>Year in LC</v>
          </cell>
          <cell r="AP11" t="str">
            <v>Year in LC</v>
          </cell>
          <cell r="AW11" t="str">
            <v>Year in LC</v>
          </cell>
          <cell r="AZ11" t="str">
            <v>Year in LC</v>
          </cell>
          <cell r="BC11" t="str">
            <v>Year in LC</v>
          </cell>
          <cell r="BF11" t="str">
            <v>Year in LC</v>
          </cell>
          <cell r="BI11" t="str">
            <v>Year in LC</v>
          </cell>
          <cell r="BL11" t="str">
            <v>Year in LC</v>
          </cell>
          <cell r="BS11" t="str">
            <v>Year in LC</v>
          </cell>
          <cell r="BV11" t="str">
            <v>Year in LC</v>
          </cell>
          <cell r="BY11" t="str">
            <v>Year in LC</v>
          </cell>
          <cell r="CB11" t="str">
            <v>Year in LC</v>
          </cell>
          <cell r="CE11" t="str">
            <v>Year in LC</v>
          </cell>
          <cell r="CH11" t="str">
            <v>Year in LC</v>
          </cell>
          <cell r="CO11" t="str">
            <v>Year in LC</v>
          </cell>
          <cell r="CR11" t="str">
            <v>Year in LC</v>
          </cell>
          <cell r="CU11" t="str">
            <v>Year in LC</v>
          </cell>
          <cell r="CX11" t="str">
            <v>Year in LC</v>
          </cell>
          <cell r="DA11" t="str">
            <v>Year in LC</v>
          </cell>
          <cell r="DD11" t="str">
            <v>Year in LC</v>
          </cell>
          <cell r="DK11" t="str">
            <v>Year in LC</v>
          </cell>
          <cell r="DN11" t="str">
            <v>Year in LC</v>
          </cell>
          <cell r="DQ11" t="str">
            <v>Year in LC</v>
          </cell>
          <cell r="DT11" t="str">
            <v>Year in LC</v>
          </cell>
          <cell r="DW11" t="str">
            <v>Year in LC</v>
          </cell>
          <cell r="DZ11" t="str">
            <v>Year in LC</v>
          </cell>
        </row>
        <row r="12">
          <cell r="E12" t="str">
            <v>2005</v>
          </cell>
          <cell r="H12" t="str">
            <v>2006</v>
          </cell>
          <cell r="K12" t="str">
            <v>2007</v>
          </cell>
          <cell r="N12" t="str">
            <v>2008</v>
          </cell>
          <cell r="Q12" t="str">
            <v>2009</v>
          </cell>
          <cell r="T12" t="str">
            <v>2010</v>
          </cell>
          <cell r="AA12" t="str">
            <v>2005</v>
          </cell>
          <cell r="AD12" t="str">
            <v>2006</v>
          </cell>
          <cell r="AG12" t="str">
            <v>2007</v>
          </cell>
          <cell r="AJ12" t="str">
            <v>2008</v>
          </cell>
          <cell r="AM12" t="str">
            <v>2009</v>
          </cell>
          <cell r="AP12" t="str">
            <v>2010</v>
          </cell>
          <cell r="AW12" t="str">
            <v>2005</v>
          </cell>
          <cell r="AZ12" t="str">
            <v>2006</v>
          </cell>
          <cell r="BC12" t="str">
            <v>2007</v>
          </cell>
          <cell r="BF12" t="str">
            <v>2008</v>
          </cell>
          <cell r="BI12" t="str">
            <v>2009</v>
          </cell>
          <cell r="BL12" t="str">
            <v>2010</v>
          </cell>
          <cell r="BS12" t="str">
            <v>2005</v>
          </cell>
          <cell r="BV12" t="str">
            <v>2006</v>
          </cell>
          <cell r="BY12" t="str">
            <v>2007</v>
          </cell>
          <cell r="CB12" t="str">
            <v>2008</v>
          </cell>
          <cell r="CE12" t="str">
            <v>2009</v>
          </cell>
          <cell r="CH12" t="str">
            <v>2010</v>
          </cell>
          <cell r="CO12" t="str">
            <v>2005</v>
          </cell>
          <cell r="CR12" t="str">
            <v>2006</v>
          </cell>
          <cell r="CU12" t="str">
            <v>2007</v>
          </cell>
          <cell r="CX12" t="str">
            <v>2008</v>
          </cell>
          <cell r="DA12" t="str">
            <v>2009</v>
          </cell>
          <cell r="DD12" t="str">
            <v>2010</v>
          </cell>
          <cell r="DK12" t="str">
            <v>2005</v>
          </cell>
          <cell r="DN12" t="str">
            <v>2006</v>
          </cell>
          <cell r="DQ12" t="str">
            <v>2007</v>
          </cell>
          <cell r="DT12" t="str">
            <v>2008</v>
          </cell>
          <cell r="DW12" t="str">
            <v>2009</v>
          </cell>
          <cell r="DZ12" t="str">
            <v>2010</v>
          </cell>
        </row>
        <row r="13">
          <cell r="E13" t="str">
            <v>Current Year Plan</v>
          </cell>
          <cell r="H13" t="str">
            <v>Current Year Plan</v>
          </cell>
          <cell r="K13" t="str">
            <v>Current Year Plan</v>
          </cell>
          <cell r="N13" t="str">
            <v>Current Year Plan</v>
          </cell>
          <cell r="Q13" t="str">
            <v>Current Year Plan</v>
          </cell>
          <cell r="T13" t="str">
            <v>Current Year Plan</v>
          </cell>
          <cell r="AA13" t="str">
            <v>Current Year Plan</v>
          </cell>
          <cell r="AD13" t="str">
            <v>Current Year Plan</v>
          </cell>
          <cell r="AG13" t="str">
            <v>Current Year Plan</v>
          </cell>
          <cell r="AJ13" t="str">
            <v>Current Year Plan</v>
          </cell>
          <cell r="AM13" t="str">
            <v>Current Year Plan</v>
          </cell>
          <cell r="AP13" t="str">
            <v>Current Year Plan</v>
          </cell>
          <cell r="AW13" t="str">
            <v>Current Year Plan</v>
          </cell>
          <cell r="AZ13" t="str">
            <v>Current Year Plan</v>
          </cell>
          <cell r="BC13" t="str">
            <v>Current Year Plan</v>
          </cell>
          <cell r="BF13" t="str">
            <v>Current Year Plan</v>
          </cell>
          <cell r="BI13" t="str">
            <v>Current Year Plan</v>
          </cell>
          <cell r="BL13" t="str">
            <v>Current Year Plan</v>
          </cell>
          <cell r="BS13" t="str">
            <v>Current Year Plan</v>
          </cell>
          <cell r="BV13" t="str">
            <v>Current Year Plan</v>
          </cell>
          <cell r="BY13" t="str">
            <v>Current Year Plan</v>
          </cell>
          <cell r="CB13" t="str">
            <v>Current Year Plan</v>
          </cell>
          <cell r="CE13" t="str">
            <v>Current Year Plan</v>
          </cell>
          <cell r="CH13" t="str">
            <v>Current Year Plan</v>
          </cell>
          <cell r="CO13" t="str">
            <v>Current Year Plan</v>
          </cell>
          <cell r="CR13" t="str">
            <v>Current Year Plan</v>
          </cell>
          <cell r="CU13" t="str">
            <v>Current Year Plan</v>
          </cell>
          <cell r="CX13" t="str">
            <v>Current Year Plan</v>
          </cell>
          <cell r="DA13" t="str">
            <v>Current Year Plan</v>
          </cell>
          <cell r="DD13" t="str">
            <v>Current Year Plan</v>
          </cell>
          <cell r="DK13" t="str">
            <v>Current Year Plan</v>
          </cell>
          <cell r="DN13" t="str">
            <v>Current Year Plan</v>
          </cell>
          <cell r="DQ13" t="str">
            <v>Current Year Plan</v>
          </cell>
          <cell r="DT13" t="str">
            <v>Current Year Plan</v>
          </cell>
          <cell r="DW13" t="str">
            <v>Current Year Plan</v>
          </cell>
          <cell r="DZ13" t="str">
            <v>Current Year Plan</v>
          </cell>
        </row>
        <row r="14">
          <cell r="E14" t="str">
            <v>Total activity</v>
          </cell>
          <cell r="H14" t="str">
            <v>Total activity</v>
          </cell>
          <cell r="K14" t="str">
            <v>Total activity</v>
          </cell>
          <cell r="N14" t="str">
            <v>Total activity</v>
          </cell>
          <cell r="Q14" t="str">
            <v>Total activity</v>
          </cell>
          <cell r="T14" t="str">
            <v>Total activity</v>
          </cell>
          <cell r="AA14" t="str">
            <v>Total Hypermarkets</v>
          </cell>
          <cell r="AD14" t="str">
            <v>Total Hypermarkets</v>
          </cell>
          <cell r="AG14" t="str">
            <v>Total Hypermarkets</v>
          </cell>
          <cell r="AJ14" t="str">
            <v>Total Hypermarkets</v>
          </cell>
          <cell r="AM14" t="str">
            <v>Total Hypermarkets</v>
          </cell>
          <cell r="AP14" t="str">
            <v>Total Hypermarkets</v>
          </cell>
          <cell r="AW14" t="str">
            <v>Total Supermarkets</v>
          </cell>
          <cell r="AZ14" t="str">
            <v>Total Supermarkets</v>
          </cell>
          <cell r="BC14" t="str">
            <v>Total Supermarkets</v>
          </cell>
          <cell r="BF14" t="str">
            <v>Total Supermarkets</v>
          </cell>
          <cell r="BI14" t="str">
            <v>Total Supermarkets</v>
          </cell>
          <cell r="BL14" t="str">
            <v>Total Supermarkets</v>
          </cell>
          <cell r="BS14" t="str">
            <v>Total Insurance &amp; Financial Companies</v>
          </cell>
          <cell r="BV14" t="str">
            <v>Total Insurance &amp; Financial Companies</v>
          </cell>
          <cell r="BY14" t="str">
            <v>Total Insurance &amp; Financial Companies</v>
          </cell>
          <cell r="CB14" t="str">
            <v>Total Insurance &amp; Financial Companies</v>
          </cell>
          <cell r="CE14" t="str">
            <v>Total Insurance &amp; Financial Companies</v>
          </cell>
          <cell r="CH14" t="str">
            <v>Total Insurance &amp; Financial Companies</v>
          </cell>
          <cell r="CO14" t="str">
            <v>Head Office</v>
          </cell>
          <cell r="CR14" t="str">
            <v>Head Office</v>
          </cell>
          <cell r="CU14" t="str">
            <v>Head Office</v>
          </cell>
          <cell r="CX14" t="str">
            <v>Head Office</v>
          </cell>
          <cell r="DA14" t="str">
            <v>Head Office</v>
          </cell>
          <cell r="DD14" t="str">
            <v>Head Office</v>
          </cell>
          <cell r="DK14" t="str">
            <v>Shopping Malls</v>
          </cell>
          <cell r="DN14" t="str">
            <v>Shopping Malls</v>
          </cell>
          <cell r="DQ14" t="str">
            <v>Shopping Malls</v>
          </cell>
          <cell r="DT14" t="str">
            <v>Shopping Malls</v>
          </cell>
          <cell r="DW14" t="str">
            <v>Shopping Malls</v>
          </cell>
          <cell r="DZ14" t="str">
            <v>Shopping Malls</v>
          </cell>
        </row>
        <row r="15">
          <cell r="L15" t="str">
            <v>Vs N-1</v>
          </cell>
          <cell r="O15" t="str">
            <v>Vs N-1</v>
          </cell>
          <cell r="R15" t="str">
            <v>Vs N-1</v>
          </cell>
          <cell r="AH15" t="str">
            <v>Vs N-1</v>
          </cell>
          <cell r="AK15" t="str">
            <v>Vs N-1</v>
          </cell>
          <cell r="AN15" t="str">
            <v>Vs N-1</v>
          </cell>
          <cell r="BD15" t="str">
            <v>Vs N-1</v>
          </cell>
          <cell r="BG15" t="str">
            <v>Vs N-1</v>
          </cell>
          <cell r="BJ15" t="str">
            <v>Vs N-1</v>
          </cell>
          <cell r="BZ15" t="str">
            <v>Vs N-1</v>
          </cell>
          <cell r="CC15" t="str">
            <v>Vs N-1</v>
          </cell>
          <cell r="CF15" t="str">
            <v>Vs N-1</v>
          </cell>
          <cell r="CV15" t="str">
            <v>Vs N-1</v>
          </cell>
          <cell r="CY15" t="str">
            <v>Vs N-1</v>
          </cell>
          <cell r="DB15" t="str">
            <v>Vs N-1</v>
          </cell>
          <cell r="DR15" t="str">
            <v>Vs N-1</v>
          </cell>
          <cell r="DU15" t="str">
            <v>Vs N-1</v>
          </cell>
          <cell r="DX15" t="str">
            <v>Vs N-1</v>
          </cell>
        </row>
        <row r="16">
          <cell r="C16" t="str">
            <v>Total Net sales</v>
          </cell>
          <cell r="E16">
            <v>51797.380999999994</v>
          </cell>
          <cell r="H16">
            <v>54167.921438999998</v>
          </cell>
          <cell r="I16">
            <v>4.5765642842058085E-2</v>
          </cell>
          <cell r="K16">
            <v>60874.977662235753</v>
          </cell>
          <cell r="L16">
            <v>0.12381970814199983</v>
          </cell>
          <cell r="N16">
            <v>63499.463871640874</v>
          </cell>
          <cell r="O16">
            <v>4.3112725625413129E-2</v>
          </cell>
          <cell r="Q16">
            <v>72202.596877155971</v>
          </cell>
          <cell r="R16">
            <v>0.13705836986447295</v>
          </cell>
          <cell r="T16">
            <v>82615.571478961807</v>
          </cell>
          <cell r="Y16" t="str">
            <v>Total Net sales</v>
          </cell>
          <cell r="AA16">
            <v>51797.380999999994</v>
          </cell>
          <cell r="AD16">
            <v>54167.921438999998</v>
          </cell>
          <cell r="AE16">
            <v>4.5765642842058085E-2</v>
          </cell>
          <cell r="AG16">
            <v>60874.977662235753</v>
          </cell>
          <cell r="AH16">
            <v>0.12381970814199983</v>
          </cell>
          <cell r="AJ16">
            <v>63499.463871640874</v>
          </cell>
          <cell r="AK16">
            <v>4.3112725625413129E-2</v>
          </cell>
          <cell r="AM16">
            <v>72202.596877155971</v>
          </cell>
          <cell r="AN16">
            <v>0.13705836986447295</v>
          </cell>
          <cell r="AP16">
            <v>82615.571478961807</v>
          </cell>
          <cell r="AU16" t="str">
            <v>Total Net sales</v>
          </cell>
          <cell r="AW16" t="str">
            <v>-</v>
          </cell>
          <cell r="AZ16" t="str">
            <v>-</v>
          </cell>
          <cell r="BA16" t="e">
            <v>#DIV/0!</v>
          </cell>
          <cell r="BC16" t="str">
            <v>-</v>
          </cell>
          <cell r="BD16" t="e">
            <v>#DIV/0!</v>
          </cell>
          <cell r="BF16" t="str">
            <v>-</v>
          </cell>
          <cell r="BG16" t="e">
            <v>#DIV/0!</v>
          </cell>
          <cell r="BI16" t="str">
            <v>-</v>
          </cell>
          <cell r="BJ16" t="e">
            <v>#DIV/0!</v>
          </cell>
          <cell r="BL16" t="str">
            <v>-</v>
          </cell>
          <cell r="BQ16" t="str">
            <v>Total Net sales</v>
          </cell>
          <cell r="BS16" t="str">
            <v>-</v>
          </cell>
          <cell r="BV16" t="str">
            <v>-</v>
          </cell>
          <cell r="BW16" t="e">
            <v>#DIV/0!</v>
          </cell>
          <cell r="BY16" t="str">
            <v>-</v>
          </cell>
          <cell r="BZ16" t="e">
            <v>#DIV/0!</v>
          </cell>
          <cell r="CB16" t="str">
            <v>-</v>
          </cell>
          <cell r="CE16" t="str">
            <v>-</v>
          </cell>
          <cell r="CF16" t="e">
            <v>#DIV/0!</v>
          </cell>
          <cell r="CH16" t="str">
            <v>-</v>
          </cell>
          <cell r="CM16" t="str">
            <v>Total Net sales</v>
          </cell>
          <cell r="CO16" t="str">
            <v>-</v>
          </cell>
          <cell r="CR16" t="str">
            <v>-</v>
          </cell>
          <cell r="CS16" t="e">
            <v>#DIV/0!</v>
          </cell>
          <cell r="CU16" t="str">
            <v>-</v>
          </cell>
          <cell r="CV16" t="e">
            <v>#DIV/0!</v>
          </cell>
          <cell r="CX16" t="str">
            <v>-</v>
          </cell>
          <cell r="CY16" t="e">
            <v>#DIV/0!</v>
          </cell>
          <cell r="DA16" t="str">
            <v>-</v>
          </cell>
          <cell r="DB16" t="e">
            <v>#DIV/0!</v>
          </cell>
          <cell r="DD16" t="str">
            <v>-</v>
          </cell>
          <cell r="DI16" t="str">
            <v>Total Net sales</v>
          </cell>
          <cell r="DK16" t="str">
            <v>-</v>
          </cell>
          <cell r="DN16" t="str">
            <v>-</v>
          </cell>
          <cell r="DO16" t="e">
            <v>#DIV/0!</v>
          </cell>
          <cell r="DQ16" t="str">
            <v>-</v>
          </cell>
          <cell r="DR16" t="e">
            <v>#DIV/0!</v>
          </cell>
          <cell r="DT16" t="str">
            <v>-</v>
          </cell>
          <cell r="DW16" t="str">
            <v>-</v>
          </cell>
          <cell r="DZ16" t="str">
            <v>-</v>
          </cell>
        </row>
        <row r="17">
          <cell r="C17" t="str">
            <v>Like for like ( value )</v>
          </cell>
          <cell r="E17" t="str">
            <v>0</v>
          </cell>
          <cell r="H17" t="str">
            <v>0</v>
          </cell>
          <cell r="K17">
            <v>-777.60380054988104</v>
          </cell>
          <cell r="N17">
            <v>1507.4309492789603</v>
          </cell>
          <cell r="Q17">
            <v>1291.2770286848443</v>
          </cell>
          <cell r="T17">
            <v>2026.3924497118207</v>
          </cell>
        </row>
        <row r="18">
          <cell r="C18" t="str">
            <v>Like for like %</v>
          </cell>
          <cell r="E18" t="str">
            <v>0</v>
          </cell>
          <cell r="F18" t="str">
            <v>0</v>
          </cell>
          <cell r="H18" t="str">
            <v>0</v>
          </cell>
          <cell r="I18">
            <v>0</v>
          </cell>
          <cell r="K18">
            <v>-1.4523518249693701</v>
          </cell>
          <cell r="L18">
            <v>-1.4523518249693701E-2</v>
          </cell>
          <cell r="N18">
            <v>2.5399574412676702</v>
          </cell>
          <cell r="O18">
            <v>2.5399574412676703E-2</v>
          </cell>
          <cell r="Q18">
            <v>2.0383780029949801</v>
          </cell>
          <cell r="R18">
            <v>2.03837800299498E-2</v>
          </cell>
          <cell r="T18">
            <v>2.8511139029661301</v>
          </cell>
          <cell r="Y18" t="str">
            <v>Like for like %</v>
          </cell>
          <cell r="AA18" t="str">
            <v>-</v>
          </cell>
          <cell r="AB18">
            <v>0</v>
          </cell>
          <cell r="AD18" t="str">
            <v>-</v>
          </cell>
          <cell r="AE18">
            <v>0</v>
          </cell>
          <cell r="AG18">
            <v>-1.4523518249693701</v>
          </cell>
          <cell r="AH18">
            <v>-1.4523518249693701E-2</v>
          </cell>
          <cell r="AJ18">
            <v>2.5399574412676702</v>
          </cell>
          <cell r="AK18">
            <v>2.5399574412676703E-2</v>
          </cell>
          <cell r="AM18">
            <v>2.0383780029949801</v>
          </cell>
          <cell r="AN18">
            <v>2.03837800299498E-2</v>
          </cell>
          <cell r="AP18">
            <v>2.8511139029661301</v>
          </cell>
          <cell r="AU18" t="str">
            <v>Like for like %</v>
          </cell>
          <cell r="AW18" t="str">
            <v>-</v>
          </cell>
          <cell r="AX18">
            <v>0</v>
          </cell>
          <cell r="AZ18" t="str">
            <v>-</v>
          </cell>
          <cell r="BA18">
            <v>0</v>
          </cell>
          <cell r="BC18" t="str">
            <v>-</v>
          </cell>
          <cell r="BD18">
            <v>0</v>
          </cell>
          <cell r="BF18" t="str">
            <v>-</v>
          </cell>
          <cell r="BG18">
            <v>0</v>
          </cell>
          <cell r="BI18" t="str">
            <v>-</v>
          </cell>
          <cell r="BJ18">
            <v>0</v>
          </cell>
          <cell r="BL18" t="str">
            <v>-</v>
          </cell>
          <cell r="BQ18" t="str">
            <v>Like for like %</v>
          </cell>
          <cell r="BS18" t="str">
            <v>-</v>
          </cell>
          <cell r="BT18">
            <v>0</v>
          </cell>
          <cell r="BV18" t="str">
            <v>-</v>
          </cell>
          <cell r="BW18">
            <v>0</v>
          </cell>
          <cell r="BY18" t="str">
            <v>-</v>
          </cell>
          <cell r="BZ18">
            <v>0</v>
          </cell>
          <cell r="CB18" t="str">
            <v>-</v>
          </cell>
          <cell r="CC18">
            <v>0</v>
          </cell>
          <cell r="CE18" t="str">
            <v>-</v>
          </cell>
          <cell r="CF18">
            <v>0</v>
          </cell>
          <cell r="CH18" t="str">
            <v>-</v>
          </cell>
          <cell r="CM18" t="str">
            <v>Like for like %</v>
          </cell>
          <cell r="CO18" t="str">
            <v>-</v>
          </cell>
          <cell r="CP18">
            <v>0</v>
          </cell>
          <cell r="CR18" t="str">
            <v>-</v>
          </cell>
          <cell r="CS18">
            <v>0</v>
          </cell>
          <cell r="CU18" t="str">
            <v>-</v>
          </cell>
          <cell r="CV18">
            <v>0</v>
          </cell>
          <cell r="CX18" t="str">
            <v>-</v>
          </cell>
          <cell r="CY18">
            <v>0</v>
          </cell>
          <cell r="DA18" t="str">
            <v>-</v>
          </cell>
          <cell r="DB18">
            <v>0</v>
          </cell>
          <cell r="DD18" t="str">
            <v>-</v>
          </cell>
          <cell r="DI18" t="str">
            <v>Like for like %</v>
          </cell>
          <cell r="DK18" t="str">
            <v>-</v>
          </cell>
          <cell r="DL18">
            <v>0</v>
          </cell>
          <cell r="DN18">
            <v>0</v>
          </cell>
          <cell r="DO18">
            <v>0</v>
          </cell>
          <cell r="DQ18" t="str">
            <v>-</v>
          </cell>
          <cell r="DR18">
            <v>0</v>
          </cell>
          <cell r="DT18" t="str">
            <v>-</v>
          </cell>
          <cell r="DU18">
            <v>0</v>
          </cell>
          <cell r="DW18" t="str">
            <v>-</v>
          </cell>
          <cell r="DX18">
            <v>0</v>
          </cell>
          <cell r="DZ18" t="str">
            <v>-</v>
          </cell>
        </row>
        <row r="19">
          <cell r="I19">
            <v>4.5765642842058085E-2</v>
          </cell>
          <cell r="L19">
            <v>0.13834322639169352</v>
          </cell>
          <cell r="O19">
            <v>1.7713151212736426E-2</v>
          </cell>
          <cell r="R19">
            <v>0.11667458983452315</v>
          </cell>
          <cell r="AE19">
            <v>4.5765642842058085E-2</v>
          </cell>
          <cell r="AH19">
            <v>0.13834322639169352</v>
          </cell>
          <cell r="AK19">
            <v>1.7713151212736426E-2</v>
          </cell>
          <cell r="AN19">
            <v>0.11667458983452315</v>
          </cell>
          <cell r="BA19" t="e">
            <v>#DIV/0!</v>
          </cell>
          <cell r="BD19" t="e">
            <v>#DIV/0!</v>
          </cell>
          <cell r="BG19" t="e">
            <v>#DIV/0!</v>
          </cell>
          <cell r="BJ19" t="e">
            <v>#DIV/0!</v>
          </cell>
          <cell r="BW19" t="e">
            <v>#DIV/0!</v>
          </cell>
          <cell r="BZ19" t="e">
            <v>#DIV/0!</v>
          </cell>
          <cell r="CF19" t="e">
            <v>#DIV/0!</v>
          </cell>
          <cell r="CS19" t="e">
            <v>#DIV/0!</v>
          </cell>
          <cell r="CV19" t="e">
            <v>#DIV/0!</v>
          </cell>
          <cell r="CY19" t="e">
            <v>#DIV/0!</v>
          </cell>
          <cell r="DB19" t="e">
            <v>#DIV/0!</v>
          </cell>
          <cell r="DO19" t="e">
            <v>#DIV/0!</v>
          </cell>
          <cell r="DR19" t="e">
            <v>#DIV/0!</v>
          </cell>
        </row>
        <row r="20">
          <cell r="I20">
            <v>4.5765642842058085E-2</v>
          </cell>
          <cell r="L20">
            <v>0.12381970814199983</v>
          </cell>
          <cell r="O20">
            <v>4.3112725625413129E-2</v>
          </cell>
          <cell r="R20">
            <v>0.13705836986447295</v>
          </cell>
          <cell r="AE20">
            <v>4.5765642842058085E-2</v>
          </cell>
          <cell r="AH20">
            <v>0.12381970814199983</v>
          </cell>
          <cell r="AK20">
            <v>4.3112725625413129E-2</v>
          </cell>
          <cell r="AN20">
            <v>0.13705836986447295</v>
          </cell>
          <cell r="BA20" t="e">
            <v>#DIV/0!</v>
          </cell>
          <cell r="BD20" t="e">
            <v>#DIV/0!</v>
          </cell>
          <cell r="BG20" t="e">
            <v>#DIV/0!</v>
          </cell>
          <cell r="BJ20" t="e">
            <v>#DIV/0!</v>
          </cell>
          <cell r="BW20" t="e">
            <v>#DIV/0!</v>
          </cell>
          <cell r="BZ20" t="e">
            <v>#DIV/0!</v>
          </cell>
          <cell r="CF20" t="e">
            <v>#DIV/0!</v>
          </cell>
          <cell r="CS20" t="e">
            <v>#DIV/0!</v>
          </cell>
          <cell r="CV20" t="e">
            <v>#DIV/0!</v>
          </cell>
          <cell r="CY20" t="e">
            <v>#DIV/0!</v>
          </cell>
          <cell r="DB20" t="e">
            <v>#DIV/0!</v>
          </cell>
          <cell r="DO20" t="e">
            <v>#DIV/0!</v>
          </cell>
          <cell r="DR20" t="e">
            <v>#DIV/0!</v>
          </cell>
        </row>
        <row r="23">
          <cell r="F23" t="str">
            <v>% CA</v>
          </cell>
          <cell r="I23" t="str">
            <v>% CA</v>
          </cell>
          <cell r="L23" t="str">
            <v>% CA</v>
          </cell>
          <cell r="O23" t="str">
            <v>% CA</v>
          </cell>
          <cell r="R23" t="str">
            <v>% CA</v>
          </cell>
          <cell r="AB23" t="str">
            <v>% CA</v>
          </cell>
          <cell r="AE23" t="str">
            <v>% CA</v>
          </cell>
          <cell r="AH23" t="str">
            <v>% CA</v>
          </cell>
          <cell r="AK23" t="str">
            <v>% CA</v>
          </cell>
          <cell r="AN23" t="str">
            <v>% CA</v>
          </cell>
          <cell r="AX23" t="str">
            <v>% CA</v>
          </cell>
          <cell r="BA23" t="str">
            <v>% CA</v>
          </cell>
          <cell r="BD23" t="str">
            <v>% CA</v>
          </cell>
          <cell r="BG23" t="str">
            <v>% CA</v>
          </cell>
          <cell r="BJ23" t="str">
            <v>% CA</v>
          </cell>
          <cell r="BT23" t="str">
            <v>% CA</v>
          </cell>
          <cell r="BW23" t="str">
            <v>% CA</v>
          </cell>
          <cell r="BZ23" t="str">
            <v>% CA</v>
          </cell>
          <cell r="CC23" t="str">
            <v>% CA</v>
          </cell>
          <cell r="CF23" t="str">
            <v>% CA</v>
          </cell>
          <cell r="CP23" t="str">
            <v>% CA</v>
          </cell>
          <cell r="CS23" t="str">
            <v>% CA</v>
          </cell>
          <cell r="CV23" t="str">
            <v>% CA</v>
          </cell>
          <cell r="CY23" t="str">
            <v>% CA</v>
          </cell>
          <cell r="DB23" t="str">
            <v>% CA</v>
          </cell>
          <cell r="DL23" t="str">
            <v>% CA</v>
          </cell>
          <cell r="DO23" t="str">
            <v>% CA</v>
          </cell>
          <cell r="DR23" t="str">
            <v>% CA</v>
          </cell>
          <cell r="DU23" t="str">
            <v>% CA</v>
          </cell>
          <cell r="DX23" t="str">
            <v>% CA</v>
          </cell>
        </row>
        <row r="24">
          <cell r="C24" t="str">
            <v>Total Commercial Margin</v>
          </cell>
          <cell r="E24">
            <v>11767.1131601</v>
          </cell>
          <cell r="F24">
            <v>0.22717583269509323</v>
          </cell>
          <cell r="H24">
            <v>12660.744072</v>
          </cell>
          <cell r="I24">
            <v>0.23373139924258707</v>
          </cell>
          <cell r="K24">
            <v>14335.24150289896</v>
          </cell>
          <cell r="L24">
            <v>0.23548659980522563</v>
          </cell>
          <cell r="N24">
            <v>15081.964823126269</v>
          </cell>
          <cell r="O24">
            <v>0.23751326237357318</v>
          </cell>
          <cell r="Q24">
            <v>17126.943186003708</v>
          </cell>
          <cell r="R24">
            <v>0.23720674777311873</v>
          </cell>
          <cell r="T24">
            <v>19673.683899006191</v>
          </cell>
          <cell r="Y24" t="str">
            <v>Total Commercial Margin</v>
          </cell>
          <cell r="AA24">
            <v>11727.284168099999</v>
          </cell>
          <cell r="AB24">
            <v>0.22640689435823019</v>
          </cell>
          <cell r="AD24">
            <v>12623.115342999999</v>
          </cell>
          <cell r="AE24">
            <v>0.23303673110690135</v>
          </cell>
          <cell r="AG24">
            <v>14299.365006898959</v>
          </cell>
          <cell r="AH24">
            <v>0.23489725263208888</v>
          </cell>
          <cell r="AJ24">
            <v>15042.25482312627</v>
          </cell>
          <cell r="AK24">
            <v>0.23688790276297442</v>
          </cell>
          <cell r="AM24">
            <v>17086.438076147297</v>
          </cell>
          <cell r="AN24">
            <v>0.23664575534890822</v>
          </cell>
          <cell r="AP24">
            <v>19632.369615006191</v>
          </cell>
          <cell r="AU24" t="str">
            <v>Total Commercial Margin</v>
          </cell>
          <cell r="AW24" t="str">
            <v>-</v>
          </cell>
          <cell r="AX24" t="e">
            <v>#DIV/0!</v>
          </cell>
          <cell r="AZ24" t="str">
            <v>-</v>
          </cell>
          <cell r="BA24" t="e">
            <v>#DIV/0!</v>
          </cell>
          <cell r="BC24" t="str">
            <v>-</v>
          </cell>
          <cell r="BD24" t="e">
            <v>#DIV/0!</v>
          </cell>
          <cell r="BF24" t="str">
            <v>-</v>
          </cell>
          <cell r="BG24" t="e">
            <v>#DIV/0!</v>
          </cell>
          <cell r="BI24" t="str">
            <v>-</v>
          </cell>
          <cell r="BJ24" t="e">
            <v>#DIV/0!</v>
          </cell>
          <cell r="BL24" t="str">
            <v>-</v>
          </cell>
          <cell r="BQ24" t="str">
            <v>Total Commercial Margin</v>
          </cell>
          <cell r="BS24" t="str">
            <v>-</v>
          </cell>
          <cell r="BT24" t="e">
            <v>#DIV/0!</v>
          </cell>
          <cell r="BV24" t="str">
            <v>-</v>
          </cell>
          <cell r="BW24" t="e">
            <v>#DIV/0!</v>
          </cell>
          <cell r="BY24" t="str">
            <v>-</v>
          </cell>
          <cell r="BZ24" t="e">
            <v>#DIV/0!</v>
          </cell>
          <cell r="CB24" t="str">
            <v>-</v>
          </cell>
          <cell r="CC24" t="e">
            <v>#DIV/0!</v>
          </cell>
          <cell r="CE24" t="str">
            <v>-</v>
          </cell>
          <cell r="CF24" t="e">
            <v>#DIV/0!</v>
          </cell>
          <cell r="CH24" t="str">
            <v>-</v>
          </cell>
          <cell r="CM24" t="str">
            <v>Total Commercial Margin</v>
          </cell>
          <cell r="CO24">
            <v>39.828992</v>
          </cell>
          <cell r="CP24" t="e">
            <v>#DIV/0!</v>
          </cell>
          <cell r="CR24">
            <v>37.628729</v>
          </cell>
          <cell r="CS24" t="e">
            <v>#DIV/0!</v>
          </cell>
          <cell r="CU24">
            <v>35.876496000000003</v>
          </cell>
          <cell r="CV24" t="e">
            <v>#DIV/0!</v>
          </cell>
          <cell r="CX24">
            <v>39.71</v>
          </cell>
          <cell r="CY24" t="e">
            <v>#DIV/0!</v>
          </cell>
          <cell r="DA24">
            <v>40.505109856410854</v>
          </cell>
          <cell r="DB24" t="e">
            <v>#DIV/0!</v>
          </cell>
          <cell r="DD24">
            <v>41.314284000000001</v>
          </cell>
          <cell r="DI24" t="str">
            <v>Total Commercial Margin</v>
          </cell>
          <cell r="DK24" t="str">
            <v>-</v>
          </cell>
          <cell r="DL24" t="e">
            <v>#DIV/0!</v>
          </cell>
          <cell r="DN24" t="str">
            <v>-</v>
          </cell>
          <cell r="DO24" t="e">
            <v>#DIV/0!</v>
          </cell>
          <cell r="DQ24" t="str">
            <v>-</v>
          </cell>
          <cell r="DR24" t="e">
            <v>#DIV/0!</v>
          </cell>
          <cell r="DT24" t="str">
            <v>-</v>
          </cell>
          <cell r="DU24" t="e">
            <v>#DIV/0!</v>
          </cell>
          <cell r="DW24" t="str">
            <v>-</v>
          </cell>
          <cell r="DX24" t="e">
            <v>#DIV/0!</v>
          </cell>
          <cell r="DZ24" t="str">
            <v>-</v>
          </cell>
        </row>
        <row r="26">
          <cell r="C26" t="str">
            <v>Other income</v>
          </cell>
          <cell r="E26">
            <v>901.34788600000024</v>
          </cell>
          <cell r="F26">
            <v>1.7401418152782674E-2</v>
          </cell>
          <cell r="H26">
            <v>1288.5616709999999</v>
          </cell>
          <cell r="I26">
            <v>2.3788279793070612E-2</v>
          </cell>
          <cell r="K26">
            <v>1568.411914401473</v>
          </cell>
          <cell r="L26">
            <v>2.5764476220489014E-2</v>
          </cell>
          <cell r="N26">
            <v>1488.7121723496548</v>
          </cell>
          <cell r="O26">
            <v>2.3444484119723726E-2</v>
          </cell>
          <cell r="Q26">
            <v>1704.8156318886408</v>
          </cell>
          <cell r="R26">
            <v>2.3611555617441011E-2</v>
          </cell>
          <cell r="T26">
            <v>1858.8529507442463</v>
          </cell>
          <cell r="Y26" t="str">
            <v>Other income</v>
          </cell>
          <cell r="AA26">
            <v>-242.29674199999999</v>
          </cell>
          <cell r="AB26">
            <v>-4.6777797896770112E-3</v>
          </cell>
          <cell r="AD26">
            <v>-561.719875</v>
          </cell>
          <cell r="AE26">
            <v>-1.0369972856214695E-2</v>
          </cell>
          <cell r="AG26">
            <v>-610.44291659852706</v>
          </cell>
          <cell r="AH26">
            <v>-1.0027813397904865E-2</v>
          </cell>
          <cell r="AJ26">
            <v>-638.04063502627048</v>
          </cell>
          <cell r="AK26">
            <v>-1.0047968850823985E-2</v>
          </cell>
          <cell r="AM26">
            <v>-695.16747433895887</v>
          </cell>
          <cell r="AN26">
            <v>-9.6280120716669328E-3</v>
          </cell>
          <cell r="AP26">
            <v>-755.4797283159545</v>
          </cell>
          <cell r="AU26" t="str">
            <v>Other income</v>
          </cell>
          <cell r="AW26" t="str">
            <v>-</v>
          </cell>
          <cell r="AX26" t="e">
            <v>#DIV/0!</v>
          </cell>
          <cell r="AZ26" t="str">
            <v>-</v>
          </cell>
          <cell r="BA26" t="e">
            <v>#DIV/0!</v>
          </cell>
          <cell r="BC26" t="str">
            <v>-</v>
          </cell>
          <cell r="BD26" t="e">
            <v>#DIV/0!</v>
          </cell>
          <cell r="BF26" t="str">
            <v>-</v>
          </cell>
          <cell r="BG26" t="e">
            <v>#DIV/0!</v>
          </cell>
          <cell r="BI26" t="str">
            <v>-</v>
          </cell>
          <cell r="BJ26" t="e">
            <v>#DIV/0!</v>
          </cell>
          <cell r="BL26" t="str">
            <v>-</v>
          </cell>
          <cell r="BQ26" t="str">
            <v>Other income</v>
          </cell>
          <cell r="BS26" t="str">
            <v>-</v>
          </cell>
          <cell r="BT26" t="e">
            <v>#DIV/0!</v>
          </cell>
          <cell r="BV26" t="str">
            <v>-</v>
          </cell>
          <cell r="BW26" t="e">
            <v>#DIV/0!</v>
          </cell>
          <cell r="BY26" t="str">
            <v>-</v>
          </cell>
          <cell r="BZ26" t="e">
            <v>#DIV/0!</v>
          </cell>
          <cell r="CB26" t="str">
            <v>-</v>
          </cell>
          <cell r="CC26" t="e">
            <v>#DIV/0!</v>
          </cell>
          <cell r="CE26" t="str">
            <v>-</v>
          </cell>
          <cell r="CF26" t="e">
            <v>#DIV/0!</v>
          </cell>
          <cell r="CH26" t="str">
            <v>-</v>
          </cell>
          <cell r="CM26" t="str">
            <v>Other income</v>
          </cell>
          <cell r="CO26">
            <v>3.300395</v>
          </cell>
          <cell r="CP26" t="e">
            <v>#DIV/0!</v>
          </cell>
          <cell r="CR26">
            <v>309.52831900000001</v>
          </cell>
          <cell r="CS26" t="e">
            <v>#DIV/0!</v>
          </cell>
          <cell r="CU26">
            <v>157.321832</v>
          </cell>
          <cell r="CV26" t="e">
            <v>#DIV/0!</v>
          </cell>
          <cell r="CX26">
            <v>59.753621429699997</v>
          </cell>
          <cell r="CY26" t="e">
            <v>#DIV/0!</v>
          </cell>
          <cell r="DA26">
            <v>60.948693858293986</v>
          </cell>
          <cell r="DB26" t="e">
            <v>#DIV/0!</v>
          </cell>
          <cell r="DD26">
            <v>62.167667735459865</v>
          </cell>
          <cell r="DI26" t="str">
            <v>Other income</v>
          </cell>
          <cell r="DK26">
            <v>1140.3442330000003</v>
          </cell>
          <cell r="DL26" t="e">
            <v>#DIV/0!</v>
          </cell>
          <cell r="DN26">
            <v>1540.7532269999999</v>
          </cell>
          <cell r="DO26" t="e">
            <v>#DIV/0!</v>
          </cell>
          <cell r="DQ26">
            <v>2021.532999</v>
          </cell>
          <cell r="DR26" t="e">
            <v>#DIV/0!</v>
          </cell>
          <cell r="DT26">
            <v>2066.9991859462252</v>
          </cell>
          <cell r="DU26" t="e">
            <v>#DIV/0!</v>
          </cell>
          <cell r="DW26">
            <v>2339.0344123693058</v>
          </cell>
          <cell r="DX26" t="e">
            <v>#DIV/0!</v>
          </cell>
          <cell r="DZ26">
            <v>2552.1650113247406</v>
          </cell>
        </row>
        <row r="27">
          <cell r="C27" t="str">
            <v>Rental Income</v>
          </cell>
          <cell r="E27">
            <v>893.9</v>
          </cell>
          <cell r="F27">
            <v>1.7257629299828887E-2</v>
          </cell>
          <cell r="H27">
            <v>1163.8381519999998</v>
          </cell>
          <cell r="I27">
            <v>2.1485745088273885E-2</v>
          </cell>
          <cell r="K27">
            <v>1785.005864</v>
          </cell>
          <cell r="L27">
            <v>2.9322489018461548E-2</v>
          </cell>
          <cell r="N27">
            <v>1861.3682431876994</v>
          </cell>
          <cell r="O27">
            <v>2.9313133209286735E-2</v>
          </cell>
          <cell r="Q27">
            <v>2119.5798067646688</v>
          </cell>
          <cell r="R27">
            <v>2.9356005163787651E-2</v>
          </cell>
          <cell r="T27">
            <v>2321.9904228179539</v>
          </cell>
          <cell r="Y27" t="str">
            <v>Rental Income</v>
          </cell>
          <cell r="AA27" t="str">
            <v>-</v>
          </cell>
          <cell r="AB27">
            <v>0</v>
          </cell>
          <cell r="AD27">
            <v>-58.394371</v>
          </cell>
          <cell r="AE27">
            <v>-1.0780249536759413E-3</v>
          </cell>
          <cell r="AG27">
            <v>-100.772929</v>
          </cell>
          <cell r="AH27">
            <v>-1.6554080653489133E-3</v>
          </cell>
          <cell r="AJ27">
            <v>-101.06525999999999</v>
          </cell>
          <cell r="AK27">
            <v>-1.591592335398223E-3</v>
          </cell>
          <cell r="AM27">
            <v>-101.06525999999999</v>
          </cell>
          <cell r="AN27">
            <v>-1.3997454990704887E-3</v>
          </cell>
          <cell r="AP27">
            <v>-101.06525999999999</v>
          </cell>
          <cell r="AU27" t="str">
            <v>Rental Income</v>
          </cell>
          <cell r="AW27" t="str">
            <v>-</v>
          </cell>
          <cell r="AX27" t="e">
            <v>#DIV/0!</v>
          </cell>
          <cell r="AZ27" t="str">
            <v>-</v>
          </cell>
          <cell r="BA27" t="e">
            <v>#DIV/0!</v>
          </cell>
          <cell r="BC27" t="str">
            <v>-</v>
          </cell>
          <cell r="BD27" t="e">
            <v>#DIV/0!</v>
          </cell>
          <cell r="BF27" t="str">
            <v>-</v>
          </cell>
          <cell r="BG27" t="e">
            <v>#DIV/0!</v>
          </cell>
          <cell r="BI27" t="str">
            <v>-</v>
          </cell>
          <cell r="BJ27" t="e">
            <v>#DIV/0!</v>
          </cell>
          <cell r="BL27" t="str">
            <v>-</v>
          </cell>
          <cell r="BQ27" t="str">
            <v>Rental Income</v>
          </cell>
          <cell r="BS27" t="str">
            <v>-</v>
          </cell>
          <cell r="BT27" t="e">
            <v>#DIV/0!</v>
          </cell>
          <cell r="BV27" t="str">
            <v>-</v>
          </cell>
          <cell r="BW27" t="e">
            <v>#DIV/0!</v>
          </cell>
          <cell r="BY27" t="str">
            <v>-</v>
          </cell>
          <cell r="BZ27" t="e">
            <v>#DIV/0!</v>
          </cell>
          <cell r="CB27" t="str">
            <v>-</v>
          </cell>
          <cell r="CC27" t="e">
            <v>#DIV/0!</v>
          </cell>
          <cell r="CE27" t="str">
            <v>-</v>
          </cell>
          <cell r="CF27" t="e">
            <v>#DIV/0!</v>
          </cell>
          <cell r="CH27" t="str">
            <v>-</v>
          </cell>
          <cell r="CM27" t="str">
            <v>Rental Income</v>
          </cell>
          <cell r="CO27" t="str">
            <v>-</v>
          </cell>
          <cell r="CP27" t="e">
            <v>#DIV/0!</v>
          </cell>
          <cell r="CR27" t="str">
            <v>-</v>
          </cell>
          <cell r="CS27" t="e">
            <v>#DIV/0!</v>
          </cell>
          <cell r="CU27" t="str">
            <v>-</v>
          </cell>
          <cell r="CV27" t="e">
            <v>#DIV/0!</v>
          </cell>
          <cell r="CX27" t="str">
            <v>-</v>
          </cell>
          <cell r="CY27" t="e">
            <v>#DIV/0!</v>
          </cell>
          <cell r="DA27" t="str">
            <v>-</v>
          </cell>
          <cell r="DB27" t="e">
            <v>#DIV/0!</v>
          </cell>
          <cell r="DD27" t="str">
            <v>-</v>
          </cell>
          <cell r="DI27" t="str">
            <v>Rental Income</v>
          </cell>
          <cell r="DK27">
            <v>893.9</v>
          </cell>
          <cell r="DL27" t="e">
            <v>#DIV/0!</v>
          </cell>
          <cell r="DN27">
            <v>1222.2325229999999</v>
          </cell>
          <cell r="DO27" t="e">
            <v>#DIV/0!</v>
          </cell>
          <cell r="DQ27">
            <v>1885.778793</v>
          </cell>
          <cell r="DR27" t="e">
            <v>#DIV/0!</v>
          </cell>
          <cell r="DT27">
            <v>1962.4335031876994</v>
          </cell>
          <cell r="DU27" t="e">
            <v>#DIV/0!</v>
          </cell>
          <cell r="DW27">
            <v>2220.6450667646686</v>
          </cell>
          <cell r="DX27" t="e">
            <v>#DIV/0!</v>
          </cell>
          <cell r="DZ27">
            <v>2423.0556828179538</v>
          </cell>
        </row>
        <row r="28">
          <cell r="C28" t="str">
            <v>Sub-leasing Income</v>
          </cell>
          <cell r="E28">
            <v>194.052549</v>
          </cell>
          <cell r="F28">
            <v>3.7463776209071269E-3</v>
          </cell>
          <cell r="H28">
            <v>213.11500000000001</v>
          </cell>
          <cell r="I28">
            <v>3.9343396301442859E-3</v>
          </cell>
          <cell r="K28" t="str">
            <v>0</v>
          </cell>
          <cell r="L28">
            <v>0</v>
          </cell>
          <cell r="N28" t="str">
            <v>0</v>
          </cell>
          <cell r="O28">
            <v>0</v>
          </cell>
          <cell r="Q28" t="str">
            <v>0</v>
          </cell>
          <cell r="R28">
            <v>0</v>
          </cell>
          <cell r="T28" t="str">
            <v>0</v>
          </cell>
          <cell r="Y28" t="str">
            <v>Sub-leasing Income</v>
          </cell>
          <cell r="AA28" t="str">
            <v>-</v>
          </cell>
          <cell r="AB28">
            <v>0</v>
          </cell>
          <cell r="AD28" t="str">
            <v>-</v>
          </cell>
          <cell r="AE28">
            <v>0</v>
          </cell>
          <cell r="AG28" t="str">
            <v>-</v>
          </cell>
          <cell r="AH28">
            <v>0</v>
          </cell>
          <cell r="AJ28" t="str">
            <v>-</v>
          </cell>
          <cell r="AK28">
            <v>0</v>
          </cell>
          <cell r="AM28" t="str">
            <v>-</v>
          </cell>
          <cell r="AN28">
            <v>0</v>
          </cell>
          <cell r="AP28" t="str">
            <v>-</v>
          </cell>
          <cell r="AU28" t="str">
            <v>Sub-leasing Income</v>
          </cell>
          <cell r="AW28" t="str">
            <v>-</v>
          </cell>
          <cell r="AX28" t="e">
            <v>#DIV/0!</v>
          </cell>
          <cell r="AZ28" t="str">
            <v>-</v>
          </cell>
          <cell r="BA28" t="e">
            <v>#DIV/0!</v>
          </cell>
          <cell r="BC28" t="str">
            <v>-</v>
          </cell>
          <cell r="BD28" t="e">
            <v>#DIV/0!</v>
          </cell>
          <cell r="BF28" t="str">
            <v>-</v>
          </cell>
          <cell r="BG28" t="e">
            <v>#DIV/0!</v>
          </cell>
          <cell r="BI28" t="str">
            <v>-</v>
          </cell>
          <cell r="BJ28" t="e">
            <v>#DIV/0!</v>
          </cell>
          <cell r="BL28" t="str">
            <v>-</v>
          </cell>
          <cell r="BQ28" t="str">
            <v>Sub-leasing Income</v>
          </cell>
          <cell r="BS28" t="str">
            <v>-</v>
          </cell>
          <cell r="BT28" t="e">
            <v>#DIV/0!</v>
          </cell>
          <cell r="BV28" t="str">
            <v>-</v>
          </cell>
          <cell r="BW28" t="e">
            <v>#DIV/0!</v>
          </cell>
          <cell r="BY28" t="str">
            <v>-</v>
          </cell>
          <cell r="BZ28" t="e">
            <v>#DIV/0!</v>
          </cell>
          <cell r="CB28" t="str">
            <v>-</v>
          </cell>
          <cell r="CC28" t="e">
            <v>#DIV/0!</v>
          </cell>
          <cell r="CE28" t="str">
            <v>-</v>
          </cell>
          <cell r="CF28" t="e">
            <v>#DIV/0!</v>
          </cell>
          <cell r="CH28" t="str">
            <v>-</v>
          </cell>
          <cell r="CM28" t="str">
            <v>Sub-leasing Income</v>
          </cell>
          <cell r="CO28" t="str">
            <v>-</v>
          </cell>
          <cell r="CP28" t="e">
            <v>#DIV/0!</v>
          </cell>
          <cell r="CR28" t="str">
            <v>-</v>
          </cell>
          <cell r="CS28" t="e">
            <v>#DIV/0!</v>
          </cell>
          <cell r="CU28" t="str">
            <v>-</v>
          </cell>
          <cell r="CV28" t="e">
            <v>#DIV/0!</v>
          </cell>
          <cell r="CX28" t="str">
            <v>-</v>
          </cell>
          <cell r="CY28" t="e">
            <v>#DIV/0!</v>
          </cell>
          <cell r="DA28" t="str">
            <v>-</v>
          </cell>
          <cell r="DB28" t="e">
            <v>#DIV/0!</v>
          </cell>
          <cell r="DD28" t="str">
            <v>-</v>
          </cell>
          <cell r="DI28" t="str">
            <v>Sub-leasing Income</v>
          </cell>
          <cell r="DK28">
            <v>194.052549</v>
          </cell>
          <cell r="DL28" t="e">
            <v>#DIV/0!</v>
          </cell>
          <cell r="DN28">
            <v>213.11500000000001</v>
          </cell>
          <cell r="DO28" t="e">
            <v>#DIV/0!</v>
          </cell>
          <cell r="DQ28" t="str">
            <v>-</v>
          </cell>
          <cell r="DR28" t="e">
            <v>#DIV/0!</v>
          </cell>
          <cell r="DT28" t="str">
            <v>-</v>
          </cell>
          <cell r="DU28" t="e">
            <v>#DIV/0!</v>
          </cell>
          <cell r="DW28" t="str">
            <v>-</v>
          </cell>
          <cell r="DX28" t="e">
            <v>#DIV/0!</v>
          </cell>
          <cell r="DZ28" t="str">
            <v>-</v>
          </cell>
        </row>
        <row r="29">
          <cell r="C29" t="str">
            <v>Other miscellaneous income/expense</v>
          </cell>
          <cell r="E29">
            <v>-186.6046629999999</v>
          </cell>
          <cell r="F29">
            <v>-3.6025887679533436E-3</v>
          </cell>
          <cell r="H29">
            <v>-88.391480999999999</v>
          </cell>
          <cell r="I29">
            <v>-1.631804925347562E-3</v>
          </cell>
          <cell r="K29">
            <v>-216.59394959852699</v>
          </cell>
          <cell r="L29">
            <v>-3.558012797972535E-3</v>
          </cell>
          <cell r="N29">
            <v>-372.65607083804457</v>
          </cell>
          <cell r="O29">
            <v>-5.8686490895630116E-3</v>
          </cell>
          <cell r="Q29">
            <v>-414.76417487602794</v>
          </cell>
          <cell r="R29">
            <v>-5.7444495463466402E-3</v>
          </cell>
          <cell r="T29">
            <v>-463.13747207370761</v>
          </cell>
          <cell r="Y29" t="str">
            <v>Other miscellaneous income/expense</v>
          </cell>
          <cell r="AA29">
            <v>-242.29674199999999</v>
          </cell>
          <cell r="AB29">
            <v>-4.6777797896770112E-3</v>
          </cell>
          <cell r="AD29">
            <v>-503.32550400000002</v>
          </cell>
          <cell r="AE29">
            <v>-9.2919479025387539E-3</v>
          </cell>
          <cell r="AG29">
            <v>-509.66998759852703</v>
          </cell>
          <cell r="AH29">
            <v>-8.372405332555951E-3</v>
          </cell>
          <cell r="AJ29">
            <v>-536.97537502627051</v>
          </cell>
          <cell r="AK29">
            <v>-8.4563765154257627E-3</v>
          </cell>
          <cell r="AM29">
            <v>-594.1022143389589</v>
          </cell>
          <cell r="AN29">
            <v>-8.2282665725964439E-3</v>
          </cell>
          <cell r="AP29">
            <v>-654.41446831595454</v>
          </cell>
          <cell r="AU29" t="str">
            <v>Other miscellaneous income/expense</v>
          </cell>
          <cell r="AW29" t="str">
            <v>-</v>
          </cell>
          <cell r="AX29" t="e">
            <v>#DIV/0!</v>
          </cell>
          <cell r="AZ29" t="str">
            <v>-</v>
          </cell>
          <cell r="BA29" t="e">
            <v>#DIV/0!</v>
          </cell>
          <cell r="BC29" t="str">
            <v>-</v>
          </cell>
          <cell r="BD29" t="e">
            <v>#DIV/0!</v>
          </cell>
          <cell r="BF29" t="str">
            <v>-</v>
          </cell>
          <cell r="BG29" t="e">
            <v>#DIV/0!</v>
          </cell>
          <cell r="BI29" t="str">
            <v>-</v>
          </cell>
          <cell r="BJ29" t="e">
            <v>#DIV/0!</v>
          </cell>
          <cell r="BL29" t="str">
            <v>-</v>
          </cell>
          <cell r="BQ29" t="str">
            <v>Other miscellaneous income/expense</v>
          </cell>
          <cell r="BS29" t="str">
            <v>-</v>
          </cell>
          <cell r="BT29" t="e">
            <v>#DIV/0!</v>
          </cell>
          <cell r="BV29" t="str">
            <v>-</v>
          </cell>
          <cell r="BW29" t="e">
            <v>#DIV/0!</v>
          </cell>
          <cell r="BY29" t="str">
            <v>-</v>
          </cell>
          <cell r="BZ29" t="e">
            <v>#DIV/0!</v>
          </cell>
          <cell r="CB29" t="str">
            <v>-</v>
          </cell>
          <cell r="CC29" t="e">
            <v>#DIV/0!</v>
          </cell>
          <cell r="CE29" t="str">
            <v>-</v>
          </cell>
          <cell r="CF29" t="e">
            <v>#DIV/0!</v>
          </cell>
          <cell r="CH29" t="str">
            <v>-</v>
          </cell>
          <cell r="CM29" t="str">
            <v>Other miscellaneous income/expense</v>
          </cell>
          <cell r="CO29">
            <v>3.300395</v>
          </cell>
          <cell r="CP29" t="e">
            <v>#DIV/0!</v>
          </cell>
          <cell r="CR29">
            <v>309.52831900000001</v>
          </cell>
          <cell r="CS29" t="e">
            <v>#DIV/0!</v>
          </cell>
          <cell r="CU29">
            <v>157.321832</v>
          </cell>
          <cell r="CV29" t="e">
            <v>#DIV/0!</v>
          </cell>
          <cell r="CX29">
            <v>59.753621429699997</v>
          </cell>
          <cell r="CY29" t="e">
            <v>#DIV/0!</v>
          </cell>
          <cell r="DA29">
            <v>60.948693858293986</v>
          </cell>
          <cell r="DB29" t="e">
            <v>#DIV/0!</v>
          </cell>
          <cell r="DD29">
            <v>62.167667735459865</v>
          </cell>
          <cell r="DI29" t="str">
            <v>Other miscellaneous income/expense</v>
          </cell>
          <cell r="DK29">
            <v>52.391684000000097</v>
          </cell>
          <cell r="DL29" t="e">
            <v>#DIV/0!</v>
          </cell>
          <cell r="DN29">
            <v>105.405704</v>
          </cell>
          <cell r="DO29" t="e">
            <v>#DIV/0!</v>
          </cell>
          <cell r="DQ29">
            <v>135.75420600000001</v>
          </cell>
          <cell r="DR29" t="e">
            <v>#DIV/0!</v>
          </cell>
          <cell r="DT29">
            <v>104.56568275852594</v>
          </cell>
          <cell r="DU29" t="e">
            <v>#DIV/0!</v>
          </cell>
          <cell r="DW29">
            <v>118.389345604637</v>
          </cell>
          <cell r="DX29" t="e">
            <v>#DIV/0!</v>
          </cell>
          <cell r="DZ29">
            <v>129.10932850678702</v>
          </cell>
        </row>
        <row r="31">
          <cell r="C31" t="str">
            <v>Commercial income</v>
          </cell>
          <cell r="E31">
            <v>12668.461046099999</v>
          </cell>
          <cell r="F31">
            <v>0.2445772508478759</v>
          </cell>
          <cell r="H31">
            <v>13949.305742999999</v>
          </cell>
          <cell r="I31">
            <v>0.25751967903565764</v>
          </cell>
          <cell r="K31">
            <v>15903.653417300433</v>
          </cell>
          <cell r="L31">
            <v>0.26125107602571462</v>
          </cell>
          <cell r="N31">
            <v>16570.676995475922</v>
          </cell>
          <cell r="O31">
            <v>0.26095774649329684</v>
          </cell>
          <cell r="Q31">
            <v>18831.758817892347</v>
          </cell>
          <cell r="R31">
            <v>0.26081830339055972</v>
          </cell>
          <cell r="T31">
            <v>21532.536849750439</v>
          </cell>
          <cell r="Y31" t="str">
            <v>Commercial income</v>
          </cell>
          <cell r="AA31">
            <v>11484.987426099999</v>
          </cell>
          <cell r="AB31">
            <v>0.22172911456855318</v>
          </cell>
          <cell r="AD31">
            <v>12061.395467999999</v>
          </cell>
          <cell r="AE31">
            <v>0.22266675825068666</v>
          </cell>
          <cell r="AG31">
            <v>13688.922090300432</v>
          </cell>
          <cell r="AH31">
            <v>0.22486943923418401</v>
          </cell>
          <cell r="AJ31">
            <v>14404.214188099999</v>
          </cell>
          <cell r="AK31">
            <v>0.2268399339121504</v>
          </cell>
          <cell r="AM31">
            <v>16391.270601808337</v>
          </cell>
          <cell r="AN31">
            <v>0.22701774327724128</v>
          </cell>
          <cell r="AP31">
            <v>18876.889886690238</v>
          </cell>
          <cell r="AU31" t="str">
            <v>Commercial income</v>
          </cell>
          <cell r="AW31" t="str">
            <v>-</v>
          </cell>
          <cell r="AX31" t="e">
            <v>#DIV/0!</v>
          </cell>
          <cell r="AZ31" t="str">
            <v>-</v>
          </cell>
          <cell r="BA31" t="e">
            <v>#DIV/0!</v>
          </cell>
          <cell r="BC31" t="str">
            <v>-</v>
          </cell>
          <cell r="BD31" t="e">
            <v>#DIV/0!</v>
          </cell>
          <cell r="BF31" t="str">
            <v>-</v>
          </cell>
          <cell r="BG31" t="e">
            <v>#DIV/0!</v>
          </cell>
          <cell r="BI31" t="str">
            <v>-</v>
          </cell>
          <cell r="BJ31" t="e">
            <v>#DIV/0!</v>
          </cell>
          <cell r="BL31" t="str">
            <v>-</v>
          </cell>
          <cell r="BQ31" t="str">
            <v>Commercial income</v>
          </cell>
          <cell r="BS31" t="str">
            <v>-</v>
          </cell>
          <cell r="BT31" t="e">
            <v>#DIV/0!</v>
          </cell>
          <cell r="BV31" t="str">
            <v>-</v>
          </cell>
          <cell r="BW31" t="e">
            <v>#DIV/0!</v>
          </cell>
          <cell r="BY31" t="str">
            <v>-</v>
          </cell>
          <cell r="BZ31" t="e">
            <v>#DIV/0!</v>
          </cell>
          <cell r="CB31" t="str">
            <v>-</v>
          </cell>
          <cell r="CC31" t="e">
            <v>#DIV/0!</v>
          </cell>
          <cell r="CE31" t="str">
            <v>-</v>
          </cell>
          <cell r="CF31" t="e">
            <v>#DIV/0!</v>
          </cell>
          <cell r="CH31" t="str">
            <v>-</v>
          </cell>
          <cell r="CM31" t="str">
            <v>Commercial income</v>
          </cell>
          <cell r="CO31">
            <v>43.129387000000001</v>
          </cell>
          <cell r="CP31" t="e">
            <v>#DIV/0!</v>
          </cell>
          <cell r="CR31">
            <v>347.15704800000003</v>
          </cell>
          <cell r="CS31" t="e">
            <v>#DIV/0!</v>
          </cell>
          <cell r="CU31">
            <v>193.198328</v>
          </cell>
          <cell r="CV31" t="e">
            <v>#DIV/0!</v>
          </cell>
          <cell r="CX31">
            <v>99.463621429699998</v>
          </cell>
          <cell r="CY31" t="e">
            <v>#DIV/0!</v>
          </cell>
          <cell r="DA31">
            <v>101.45380371470483</v>
          </cell>
          <cell r="DB31" t="e">
            <v>#DIV/0!</v>
          </cell>
          <cell r="DD31">
            <v>103.48195173545986</v>
          </cell>
          <cell r="DI31" t="str">
            <v>Commercial income</v>
          </cell>
          <cell r="DK31">
            <v>1140.3442330000003</v>
          </cell>
          <cell r="DL31" t="e">
            <v>#DIV/0!</v>
          </cell>
          <cell r="DN31">
            <v>1540.7532269999999</v>
          </cell>
          <cell r="DO31" t="e">
            <v>#DIV/0!</v>
          </cell>
          <cell r="DQ31">
            <v>2021.532999</v>
          </cell>
          <cell r="DR31" t="e">
            <v>#DIV/0!</v>
          </cell>
          <cell r="DT31">
            <v>2066.9991859462252</v>
          </cell>
          <cell r="DU31" t="e">
            <v>#DIV/0!</v>
          </cell>
          <cell r="DW31">
            <v>2339.0344123693058</v>
          </cell>
          <cell r="DX31" t="e">
            <v>#DIV/0!</v>
          </cell>
          <cell r="DZ31">
            <v>2552.1650113247406</v>
          </cell>
        </row>
        <row r="33">
          <cell r="C33" t="str">
            <v>Total Labor costs</v>
          </cell>
          <cell r="E33">
            <v>-3895.2251770000003</v>
          </cell>
          <cell r="F33">
            <v>-7.5201199400409854E-2</v>
          </cell>
          <cell r="H33">
            <v>-4627.9547689999999</v>
          </cell>
          <cell r="I33">
            <v>-8.5437185811378574E-2</v>
          </cell>
          <cell r="K33">
            <v>-4978.6575849247929</v>
          </cell>
          <cell r="L33">
            <v>-8.1784959537050311E-2</v>
          </cell>
          <cell r="N33">
            <v>-5068.2090091171949</v>
          </cell>
          <cell r="O33">
            <v>-7.9814988979468815E-2</v>
          </cell>
          <cell r="Q33">
            <v>-5617.3162761490867</v>
          </cell>
          <cell r="R33">
            <v>-7.7799366215404606E-2</v>
          </cell>
          <cell r="T33">
            <v>-6392.4196791293671</v>
          </cell>
          <cell r="Y33" t="str">
            <v>Total Labor costs</v>
          </cell>
          <cell r="AA33">
            <v>-3394.6647659999999</v>
          </cell>
          <cell r="AB33">
            <v>-6.5537382401631469E-2</v>
          </cell>
          <cell r="AD33">
            <v>-4002.3270889999999</v>
          </cell>
          <cell r="AE33">
            <v>-7.3887403885473657E-2</v>
          </cell>
          <cell r="AG33">
            <v>-4256.3906559247935</v>
          </cell>
          <cell r="AH33">
            <v>-6.9920200702846047E-2</v>
          </cell>
          <cell r="AJ33">
            <v>-4305.4833817355811</v>
          </cell>
          <cell r="AK33">
            <v>-6.7803460363677626E-2</v>
          </cell>
          <cell r="AM33">
            <v>-4809.9796782537014</v>
          </cell>
          <cell r="AN33">
            <v>-6.6617821052022588E-2</v>
          </cell>
          <cell r="AP33">
            <v>-5540.4299563730092</v>
          </cell>
          <cell r="AU33" t="str">
            <v>Total Labor costs</v>
          </cell>
          <cell r="AW33" t="str">
            <v>-</v>
          </cell>
          <cell r="AX33" t="e">
            <v>#DIV/0!</v>
          </cell>
          <cell r="AZ33" t="str">
            <v>-</v>
          </cell>
          <cell r="BA33" t="e">
            <v>#DIV/0!</v>
          </cell>
          <cell r="BC33" t="str">
            <v>-</v>
          </cell>
          <cell r="BD33" t="e">
            <v>#DIV/0!</v>
          </cell>
          <cell r="BF33" t="str">
            <v>-</v>
          </cell>
          <cell r="BG33" t="e">
            <v>#DIV/0!</v>
          </cell>
          <cell r="BI33" t="str">
            <v>-</v>
          </cell>
          <cell r="BJ33" t="e">
            <v>#DIV/0!</v>
          </cell>
          <cell r="BL33" t="str">
            <v>-</v>
          </cell>
          <cell r="BQ33" t="str">
            <v>Total Labor costs</v>
          </cell>
          <cell r="BS33" t="str">
            <v>-</v>
          </cell>
          <cell r="BT33" t="e">
            <v>#DIV/0!</v>
          </cell>
          <cell r="BV33" t="str">
            <v>-</v>
          </cell>
          <cell r="BW33" t="e">
            <v>#DIV/0!</v>
          </cell>
          <cell r="BY33" t="str">
            <v>-</v>
          </cell>
          <cell r="BZ33" t="e">
            <v>#DIV/0!</v>
          </cell>
          <cell r="CB33" t="str">
            <v>-</v>
          </cell>
          <cell r="CC33" t="e">
            <v>#DIV/0!</v>
          </cell>
          <cell r="CE33" t="str">
            <v>-</v>
          </cell>
          <cell r="CF33" t="e">
            <v>#DIV/0!</v>
          </cell>
          <cell r="CH33" t="str">
            <v>-</v>
          </cell>
          <cell r="CM33" t="str">
            <v>Total Labor costs</v>
          </cell>
          <cell r="CO33">
            <v>-411.68514099999999</v>
          </cell>
          <cell r="CP33" t="e">
            <v>#DIV/0!</v>
          </cell>
          <cell r="CR33">
            <v>-505.52359799999999</v>
          </cell>
          <cell r="CS33" t="e">
            <v>#DIV/0!</v>
          </cell>
          <cell r="CU33">
            <v>-564.43925200000001</v>
          </cell>
          <cell r="CV33" t="e">
            <v>#DIV/0!</v>
          </cell>
          <cell r="CX33">
            <v>-609.98226</v>
          </cell>
          <cell r="CY33" t="e">
            <v>#DIV/0!</v>
          </cell>
          <cell r="DA33">
            <v>-642.18190520000007</v>
          </cell>
          <cell r="DB33" t="e">
            <v>#DIV/0!</v>
          </cell>
          <cell r="DD33">
            <v>-675.02554330400005</v>
          </cell>
          <cell r="DI33" t="str">
            <v>Total Labor costs</v>
          </cell>
          <cell r="DK33">
            <v>-88.87527</v>
          </cell>
          <cell r="DL33" t="e">
            <v>#DIV/0!</v>
          </cell>
          <cell r="DN33">
            <v>-120.10408200000001</v>
          </cell>
          <cell r="DO33" t="e">
            <v>#DIV/0!</v>
          </cell>
          <cell r="DQ33">
            <v>-157.82767699999999</v>
          </cell>
          <cell r="DR33" t="e">
            <v>#DIV/0!</v>
          </cell>
          <cell r="DT33">
            <v>-152.74336738161512</v>
          </cell>
          <cell r="DU33" t="e">
            <v>#DIV/0!</v>
          </cell>
          <cell r="DW33">
            <v>-165.15469269538477</v>
          </cell>
          <cell r="DX33" t="e">
            <v>#DIV/0!</v>
          </cell>
          <cell r="DZ33">
            <v>-176.96417945235791</v>
          </cell>
        </row>
        <row r="34">
          <cell r="E34">
            <v>-3483.5400360000003</v>
          </cell>
          <cell r="F34">
            <v>-6.7253207956595354E-2</v>
          </cell>
          <cell r="H34">
            <v>-4122.4311710000002</v>
          </cell>
          <cell r="I34">
            <v>-7.6104658651936358E-2</v>
          </cell>
          <cell r="K34">
            <v>-4414.2183329247928</v>
          </cell>
          <cell r="L34">
            <v>-7.251285343244053E-2</v>
          </cell>
          <cell r="N34">
            <v>-4458.2267491171951</v>
          </cell>
          <cell r="O34">
            <v>-7.0208888032962713E-2</v>
          </cell>
          <cell r="Q34">
            <v>-4975.1343709490866</v>
          </cell>
          <cell r="R34">
            <v>-6.890519989763913E-2</v>
          </cell>
          <cell r="T34">
            <v>-5717.3941358253669</v>
          </cell>
          <cell r="AB34">
            <v>0</v>
          </cell>
          <cell r="AE34">
            <v>0</v>
          </cell>
          <cell r="AH34">
            <v>0</v>
          </cell>
          <cell r="AK34">
            <v>0</v>
          </cell>
          <cell r="AN34">
            <v>0</v>
          </cell>
          <cell r="AX34" t="e">
            <v>#DIV/0!</v>
          </cell>
          <cell r="BA34" t="e">
            <v>#DIV/0!</v>
          </cell>
          <cell r="BD34" t="e">
            <v>#DIV/0!</v>
          </cell>
          <cell r="BG34" t="e">
            <v>#DIV/0!</v>
          </cell>
          <cell r="BJ34" t="e">
            <v>#DIV/0!</v>
          </cell>
          <cell r="BT34" t="e">
            <v>#DIV/0!</v>
          </cell>
          <cell r="BW34" t="e">
            <v>#DIV/0!</v>
          </cell>
          <cell r="BZ34" t="e">
            <v>#DIV/0!</v>
          </cell>
          <cell r="CC34" t="e">
            <v>#DIV/0!</v>
          </cell>
          <cell r="CF34" t="e">
            <v>#DIV/0!</v>
          </cell>
          <cell r="CP34" t="e">
            <v>#DIV/0!</v>
          </cell>
          <cell r="CS34" t="e">
            <v>#DIV/0!</v>
          </cell>
          <cell r="CV34" t="e">
            <v>#DIV/0!</v>
          </cell>
          <cell r="CY34" t="e">
            <v>#DIV/0!</v>
          </cell>
          <cell r="DB34" t="e">
            <v>#DIV/0!</v>
          </cell>
          <cell r="DL34" t="e">
            <v>#DIV/0!</v>
          </cell>
          <cell r="DO34" t="e">
            <v>#DIV/0!</v>
          </cell>
          <cell r="DR34" t="e">
            <v>#DIV/0!</v>
          </cell>
          <cell r="DU34" t="e">
            <v>#DIV/0!</v>
          </cell>
          <cell r="DX34" t="e">
            <v>#DIV/0!</v>
          </cell>
        </row>
        <row r="35">
          <cell r="E35">
            <v>-411.68514099999999</v>
          </cell>
          <cell r="F35">
            <v>-7.9479914438145057E-3</v>
          </cell>
          <cell r="H35">
            <v>-505.52359799999999</v>
          </cell>
          <cell r="I35">
            <v>-9.33252715944222E-3</v>
          </cell>
          <cell r="K35">
            <v>-564.43925200000001</v>
          </cell>
          <cell r="L35">
            <v>-9.2721061046097779E-3</v>
          </cell>
          <cell r="N35">
            <v>-609.98226</v>
          </cell>
          <cell r="O35">
            <v>-9.6061009465061107E-3</v>
          </cell>
          <cell r="Q35">
            <v>-642.18190520000007</v>
          </cell>
          <cell r="R35">
            <v>-8.894166317765486E-3</v>
          </cell>
          <cell r="T35">
            <v>-675.02554330400005</v>
          </cell>
          <cell r="AB35">
            <v>0</v>
          </cell>
          <cell r="AE35">
            <v>0</v>
          </cell>
          <cell r="AH35">
            <v>0</v>
          </cell>
          <cell r="AK35">
            <v>0</v>
          </cell>
          <cell r="AN35">
            <v>0</v>
          </cell>
          <cell r="AX35" t="e">
            <v>#DIV/0!</v>
          </cell>
          <cell r="BA35" t="e">
            <v>#DIV/0!</v>
          </cell>
          <cell r="BD35" t="e">
            <v>#DIV/0!</v>
          </cell>
          <cell r="BG35" t="e">
            <v>#DIV/0!</v>
          </cell>
          <cell r="BJ35" t="e">
            <v>#DIV/0!</v>
          </cell>
          <cell r="BT35" t="e">
            <v>#DIV/0!</v>
          </cell>
          <cell r="BW35" t="e">
            <v>#DIV/0!</v>
          </cell>
          <cell r="BZ35" t="e">
            <v>#DIV/0!</v>
          </cell>
          <cell r="CC35" t="e">
            <v>#DIV/0!</v>
          </cell>
          <cell r="CF35" t="e">
            <v>#DIV/0!</v>
          </cell>
          <cell r="CP35" t="e">
            <v>#DIV/0!</v>
          </cell>
          <cell r="CS35" t="e">
            <v>#DIV/0!</v>
          </cell>
          <cell r="CV35" t="e">
            <v>#DIV/0!</v>
          </cell>
          <cell r="CY35" t="e">
            <v>#DIV/0!</v>
          </cell>
          <cell r="DB35" t="e">
            <v>#DIV/0!</v>
          </cell>
          <cell r="DL35" t="e">
            <v>#DIV/0!</v>
          </cell>
          <cell r="DO35" t="e">
            <v>#DIV/0!</v>
          </cell>
          <cell r="DR35" t="e">
            <v>#DIV/0!</v>
          </cell>
          <cell r="DU35" t="e">
            <v>#DIV/0!</v>
          </cell>
          <cell r="DX35" t="e">
            <v>#DIV/0!</v>
          </cell>
        </row>
        <row r="36">
          <cell r="C36" t="str">
            <v>Operating expenses</v>
          </cell>
          <cell r="E36">
            <v>-3135.882576</v>
          </cell>
          <cell r="F36">
            <v>-6.0541334628482477E-2</v>
          </cell>
          <cell r="H36">
            <v>-3605.5410230000002</v>
          </cell>
          <cell r="I36">
            <v>-6.6562292353423605E-2</v>
          </cell>
          <cell r="K36">
            <v>-3769.6754270598631</v>
          </cell>
          <cell r="L36">
            <v>-6.1924875734260997E-2</v>
          </cell>
          <cell r="N36">
            <v>-3908.849929909919</v>
          </cell>
          <cell r="O36">
            <v>-6.1557211535066637E-2</v>
          </cell>
          <cell r="Q36">
            <v>-4491.7885094282801</v>
          </cell>
          <cell r="R36">
            <v>-6.2210899658782598E-2</v>
          </cell>
          <cell r="T36">
            <v>-5097.2427078310157</v>
          </cell>
          <cell r="Y36" t="str">
            <v>Operating expenses</v>
          </cell>
          <cell r="AA36">
            <v>-2724.5945339999998</v>
          </cell>
          <cell r="AB36">
            <v>-5.2601009576140542E-2</v>
          </cell>
          <cell r="AD36">
            <v>-3029.9693060000004</v>
          </cell>
          <cell r="AE36">
            <v>-5.5936599107132681E-2</v>
          </cell>
          <cell r="AG36">
            <v>-3184.998936893363</v>
          </cell>
          <cell r="AH36">
            <v>-5.2320330277003141E-2</v>
          </cell>
          <cell r="AJ36">
            <v>-3258.4215761467167</v>
          </cell>
          <cell r="AK36">
            <v>-5.1314158852322871E-2</v>
          </cell>
          <cell r="AM36">
            <v>-3793.4481335493178</v>
          </cell>
          <cell r="AN36">
            <v>-5.2538943162991951E-2</v>
          </cell>
          <cell r="AP36">
            <v>-4339.5382741601024</v>
          </cell>
          <cell r="AU36" t="str">
            <v>Operating expenses</v>
          </cell>
          <cell r="AW36" t="str">
            <v>-</v>
          </cell>
          <cell r="AX36" t="e">
            <v>#DIV/0!</v>
          </cell>
          <cell r="AZ36" t="str">
            <v>-</v>
          </cell>
          <cell r="BA36" t="e">
            <v>#DIV/0!</v>
          </cell>
          <cell r="BC36" t="str">
            <v>-</v>
          </cell>
          <cell r="BD36" t="e">
            <v>#DIV/0!</v>
          </cell>
          <cell r="BF36" t="str">
            <v>-</v>
          </cell>
          <cell r="BG36" t="e">
            <v>#DIV/0!</v>
          </cell>
          <cell r="BI36" t="str">
            <v>-</v>
          </cell>
          <cell r="BJ36" t="e">
            <v>#DIV/0!</v>
          </cell>
          <cell r="BL36" t="str">
            <v>-</v>
          </cell>
          <cell r="BQ36" t="str">
            <v>Operating expenses</v>
          </cell>
          <cell r="BS36" t="str">
            <v>-</v>
          </cell>
          <cell r="BT36" t="e">
            <v>#DIV/0!</v>
          </cell>
          <cell r="BV36" t="str">
            <v>-</v>
          </cell>
          <cell r="BW36" t="e">
            <v>#DIV/0!</v>
          </cell>
          <cell r="BY36" t="str">
            <v>-</v>
          </cell>
          <cell r="BZ36" t="e">
            <v>#DIV/0!</v>
          </cell>
          <cell r="CB36" t="str">
            <v>-</v>
          </cell>
          <cell r="CC36" t="e">
            <v>#DIV/0!</v>
          </cell>
          <cell r="CE36" t="str">
            <v>-</v>
          </cell>
          <cell r="CF36" t="e">
            <v>#DIV/0!</v>
          </cell>
          <cell r="CH36" t="str">
            <v>-</v>
          </cell>
          <cell r="CM36" t="str">
            <v>Operating expenses</v>
          </cell>
          <cell r="CO36">
            <v>-165.145634</v>
          </cell>
          <cell r="CP36" t="e">
            <v>#DIV/0!</v>
          </cell>
          <cell r="CR36">
            <v>-250.10905600000001</v>
          </cell>
          <cell r="CS36" t="e">
            <v>#DIV/0!</v>
          </cell>
          <cell r="CU36">
            <v>-206.69349700000001</v>
          </cell>
          <cell r="CV36" t="e">
            <v>#DIV/0!</v>
          </cell>
          <cell r="CX36">
            <v>-231.39244109260002</v>
          </cell>
          <cell r="CY36" t="e">
            <v>#DIV/0!</v>
          </cell>
          <cell r="DA36">
            <v>-251.3924410926</v>
          </cell>
          <cell r="DB36" t="e">
            <v>#DIV/0!</v>
          </cell>
          <cell r="DD36">
            <v>-271.3924410926</v>
          </cell>
          <cell r="DI36" t="str">
            <v>Operating expenses</v>
          </cell>
          <cell r="DK36">
            <v>-246.14240800000002</v>
          </cell>
          <cell r="DL36" t="e">
            <v>#DIV/0!</v>
          </cell>
          <cell r="DN36">
            <v>-325.46266100000003</v>
          </cell>
          <cell r="DO36" t="e">
            <v>#DIV/0!</v>
          </cell>
          <cell r="DQ36">
            <v>-377.98299316650008</v>
          </cell>
          <cell r="DR36" t="e">
            <v>#DIV/0!</v>
          </cell>
          <cell r="DT36">
            <v>-419.03591267060136</v>
          </cell>
          <cell r="DU36" t="e">
            <v>#DIV/0!</v>
          </cell>
          <cell r="DW36">
            <v>-446.94793478636223</v>
          </cell>
          <cell r="DX36" t="e">
            <v>#DIV/0!</v>
          </cell>
          <cell r="DZ36">
            <v>-486.31199257831361</v>
          </cell>
        </row>
        <row r="37">
          <cell r="C37" t="str">
            <v>Advertising Expenses</v>
          </cell>
          <cell r="E37">
            <v>-1099.724606</v>
          </cell>
          <cell r="F37">
            <v>-2.1231278199181539E-2</v>
          </cell>
          <cell r="H37">
            <v>-1139.3434060000002</v>
          </cell>
          <cell r="I37">
            <v>-2.1033544868119897E-2</v>
          </cell>
          <cell r="K37">
            <v>-1163.9788569853699</v>
          </cell>
          <cell r="L37">
            <v>-1.9120809595096624E-2</v>
          </cell>
          <cell r="N37">
            <v>-1184.244247997791</v>
          </cell>
          <cell r="O37">
            <v>-1.8649673175062498E-2</v>
          </cell>
          <cell r="Q37">
            <v>-1371.8493406659634</v>
          </cell>
          <cell r="R37">
            <v>-1.9E-2</v>
          </cell>
          <cell r="T37">
            <v>-1544.9111866565859</v>
          </cell>
          <cell r="Y37" t="str">
            <v>Advertising Expenses</v>
          </cell>
          <cell r="AA37">
            <v>-1040.464455</v>
          </cell>
          <cell r="AB37">
            <v>-2.0087201995792031E-2</v>
          </cell>
          <cell r="AD37">
            <v>-1074.2653190000001</v>
          </cell>
          <cell r="AE37">
            <v>-1.9832131092749426E-2</v>
          </cell>
          <cell r="AG37">
            <v>-1132.01320198537</v>
          </cell>
          <cell r="AH37">
            <v>-1.8595706240195024E-2</v>
          </cell>
          <cell r="AJ37">
            <v>-1148.37615889635</v>
          </cell>
          <cell r="AK37">
            <v>-1.808481660912447E-2</v>
          </cell>
          <cell r="AM37">
            <v>-1333.8291662184361</v>
          </cell>
          <cell r="AN37">
            <v>-1.8473423725849997E-2</v>
          </cell>
          <cell r="AP37">
            <v>-1504.6098017422069</v>
          </cell>
          <cell r="AU37" t="str">
            <v>Advertising Expenses</v>
          </cell>
          <cell r="AW37" t="str">
            <v>-</v>
          </cell>
          <cell r="AX37" t="e">
            <v>#DIV/0!</v>
          </cell>
          <cell r="AZ37" t="str">
            <v>-</v>
          </cell>
          <cell r="BA37" t="e">
            <v>#DIV/0!</v>
          </cell>
          <cell r="BC37" t="str">
            <v>-</v>
          </cell>
          <cell r="BD37" t="e">
            <v>#DIV/0!</v>
          </cell>
          <cell r="BF37" t="str">
            <v>-</v>
          </cell>
          <cell r="BG37" t="e">
            <v>#DIV/0!</v>
          </cell>
          <cell r="BI37" t="str">
            <v>-</v>
          </cell>
          <cell r="BJ37" t="e">
            <v>#DIV/0!</v>
          </cell>
          <cell r="BL37" t="str">
            <v>-</v>
          </cell>
          <cell r="BQ37" t="str">
            <v>Advertising Expenses</v>
          </cell>
          <cell r="BS37" t="str">
            <v>-</v>
          </cell>
          <cell r="BT37" t="e">
            <v>#DIV/0!</v>
          </cell>
          <cell r="BV37" t="str">
            <v>-</v>
          </cell>
          <cell r="BW37" t="e">
            <v>#DIV/0!</v>
          </cell>
          <cell r="BY37" t="str">
            <v>-</v>
          </cell>
          <cell r="BZ37" t="e">
            <v>#DIV/0!</v>
          </cell>
          <cell r="CB37" t="str">
            <v>-</v>
          </cell>
          <cell r="CC37" t="e">
            <v>#DIV/0!</v>
          </cell>
          <cell r="CE37" t="str">
            <v>-</v>
          </cell>
          <cell r="CF37" t="e">
            <v>#DIV/0!</v>
          </cell>
          <cell r="CH37" t="str">
            <v>-</v>
          </cell>
          <cell r="CM37" t="str">
            <v>Advertising Expenses</v>
          </cell>
          <cell r="CO37" t="str">
            <v>-</v>
          </cell>
          <cell r="CP37" t="e">
            <v>#DIV/0!</v>
          </cell>
          <cell r="CR37">
            <v>-4.4400000000000004</v>
          </cell>
          <cell r="CS37" t="e">
            <v>#DIV/0!</v>
          </cell>
          <cell r="CU37" t="str">
            <v>-</v>
          </cell>
          <cell r="CV37" t="e">
            <v>#DIV/0!</v>
          </cell>
          <cell r="CX37" t="str">
            <v>-</v>
          </cell>
          <cell r="CY37" t="e">
            <v>#DIV/0!</v>
          </cell>
          <cell r="DA37" t="str">
            <v>-</v>
          </cell>
          <cell r="DB37" t="e">
            <v>#DIV/0!</v>
          </cell>
          <cell r="DD37" t="str">
            <v>-</v>
          </cell>
          <cell r="DI37" t="str">
            <v>Advertising Expenses</v>
          </cell>
          <cell r="DK37">
            <v>-59.260151</v>
          </cell>
          <cell r="DL37" t="e">
            <v>#DIV/0!</v>
          </cell>
          <cell r="DN37">
            <v>-60.638086999999999</v>
          </cell>
          <cell r="DO37" t="e">
            <v>#DIV/0!</v>
          </cell>
          <cell r="DQ37">
            <v>-31.965655000000002</v>
          </cell>
          <cell r="DR37" t="e">
            <v>#DIV/0!</v>
          </cell>
          <cell r="DT37">
            <v>-35.868089101440951</v>
          </cell>
          <cell r="DU37" t="e">
            <v>#DIV/0!</v>
          </cell>
          <cell r="DW37">
            <v>-38.02017444752741</v>
          </cell>
          <cell r="DX37" t="e">
            <v>#DIV/0!</v>
          </cell>
          <cell r="DZ37">
            <v>-40.301384914379057</v>
          </cell>
        </row>
        <row r="38">
          <cell r="C38" t="str">
            <v>Energy &amp; Utilities Expenses</v>
          </cell>
          <cell r="E38" t="str">
            <v>0</v>
          </cell>
          <cell r="F38">
            <v>0</v>
          </cell>
          <cell r="H38">
            <v>-714.47216300000002</v>
          </cell>
          <cell r="I38">
            <v>-1.3189949771371364E-2</v>
          </cell>
          <cell r="K38">
            <v>-800.82426299149995</v>
          </cell>
          <cell r="L38">
            <v>-1.3155228859957303E-2</v>
          </cell>
          <cell r="N38">
            <v>-816.98433291744914</v>
          </cell>
          <cell r="O38">
            <v>-1.2866003633808911E-2</v>
          </cell>
          <cell r="Q38">
            <v>-924.19324002759652</v>
          </cell>
          <cell r="R38">
            <v>-1.2800000000000001E-2</v>
          </cell>
          <cell r="T38">
            <v>-1049.2177577828149</v>
          </cell>
          <cell r="Y38" t="str">
            <v>Energy &amp; Utilities Expenses</v>
          </cell>
          <cell r="AA38" t="str">
            <v>-</v>
          </cell>
          <cell r="AB38">
            <v>0</v>
          </cell>
          <cell r="AD38">
            <v>-619.05095200000005</v>
          </cell>
          <cell r="AE38">
            <v>-1.1428368221533671E-2</v>
          </cell>
          <cell r="AG38">
            <v>-691.53664899149999</v>
          </cell>
          <cell r="AH38">
            <v>-1.1359949121106617E-2</v>
          </cell>
          <cell r="AJ38">
            <v>-701.81483504451353</v>
          </cell>
          <cell r="AK38">
            <v>-1.1052295440843036E-2</v>
          </cell>
          <cell r="AM38">
            <v>-802.11357228228474</v>
          </cell>
          <cell r="AN38">
            <v>-1.1109206690266065E-2</v>
          </cell>
          <cell r="AP38">
            <v>-919.81330997278451</v>
          </cell>
          <cell r="AU38" t="str">
            <v>Energy &amp; Utilities Expenses</v>
          </cell>
          <cell r="AW38" t="str">
            <v>-</v>
          </cell>
          <cell r="AX38" t="e">
            <v>#DIV/0!</v>
          </cell>
          <cell r="AZ38" t="str">
            <v>-</v>
          </cell>
          <cell r="BA38" t="e">
            <v>#DIV/0!</v>
          </cell>
          <cell r="BC38" t="str">
            <v>-</v>
          </cell>
          <cell r="BD38" t="e">
            <v>#DIV/0!</v>
          </cell>
          <cell r="BF38" t="str">
            <v>-</v>
          </cell>
          <cell r="BG38" t="e">
            <v>#DIV/0!</v>
          </cell>
          <cell r="BI38" t="str">
            <v>-</v>
          </cell>
          <cell r="BJ38" t="e">
            <v>#DIV/0!</v>
          </cell>
          <cell r="BL38" t="str">
            <v>-</v>
          </cell>
          <cell r="BQ38" t="str">
            <v>Energy &amp; Utilities Expenses</v>
          </cell>
          <cell r="BS38" t="str">
            <v>-</v>
          </cell>
          <cell r="BT38" t="e">
            <v>#DIV/0!</v>
          </cell>
          <cell r="BV38" t="str">
            <v>-</v>
          </cell>
          <cell r="BW38" t="e">
            <v>#DIV/0!</v>
          </cell>
          <cell r="BY38" t="str">
            <v>-</v>
          </cell>
          <cell r="BZ38" t="e">
            <v>#DIV/0!</v>
          </cell>
          <cell r="CB38" t="str">
            <v>-</v>
          </cell>
          <cell r="CC38" t="e">
            <v>#DIV/0!</v>
          </cell>
          <cell r="CE38" t="str">
            <v>-</v>
          </cell>
          <cell r="CF38" t="e">
            <v>#DIV/0!</v>
          </cell>
          <cell r="CH38" t="str">
            <v>-</v>
          </cell>
          <cell r="CM38" t="str">
            <v>Energy &amp; Utilities Expenses</v>
          </cell>
          <cell r="CO38" t="str">
            <v>-</v>
          </cell>
          <cell r="CP38" t="e">
            <v>#DIV/0!</v>
          </cell>
          <cell r="CR38">
            <v>-2.9877899999999999</v>
          </cell>
          <cell r="CS38" t="e">
            <v>#DIV/0!</v>
          </cell>
          <cell r="CU38">
            <v>-3.4351579999999999</v>
          </cell>
          <cell r="CV38" t="e">
            <v>#DIV/0!</v>
          </cell>
          <cell r="CX38">
            <v>-3.4351550004</v>
          </cell>
          <cell r="CY38" t="e">
            <v>#DIV/0!</v>
          </cell>
          <cell r="DA38">
            <v>-3.641264300424</v>
          </cell>
          <cell r="DB38" t="e">
            <v>#DIV/0!</v>
          </cell>
          <cell r="DD38">
            <v>-3.8597401584494402</v>
          </cell>
          <cell r="DI38" t="str">
            <v>Energy &amp; Utilities Expenses</v>
          </cell>
          <cell r="DK38" t="str">
            <v>-</v>
          </cell>
          <cell r="DL38" t="e">
            <v>#DIV/0!</v>
          </cell>
          <cell r="DN38">
            <v>-92.433420999999996</v>
          </cell>
          <cell r="DO38" t="e">
            <v>#DIV/0!</v>
          </cell>
          <cell r="DQ38">
            <v>-105.852456</v>
          </cell>
          <cell r="DR38" t="e">
            <v>#DIV/0!</v>
          </cell>
          <cell r="DT38">
            <v>-111.73434287253562</v>
          </cell>
          <cell r="DU38" t="e">
            <v>#DIV/0!</v>
          </cell>
          <cell r="DW38">
            <v>-118.43840344488777</v>
          </cell>
          <cell r="DX38" t="e">
            <v>#DIV/0!</v>
          </cell>
          <cell r="DZ38">
            <v>-125.54470765158104</v>
          </cell>
        </row>
        <row r="39">
          <cell r="C39" t="str">
            <v>Maintenance Expenses</v>
          </cell>
          <cell r="E39" t="str">
            <v>0</v>
          </cell>
          <cell r="F39">
            <v>0</v>
          </cell>
          <cell r="H39">
            <v>-680.35609599999998</v>
          </cell>
          <cell r="I39">
            <v>-1.2560129278103608E-2</v>
          </cell>
          <cell r="K39">
            <v>-760.87933611051199</v>
          </cell>
          <cell r="L39">
            <v>-1.2499049122157282E-2</v>
          </cell>
          <cell r="N39">
            <v>-804.85388411221777</v>
          </cell>
          <cell r="O39">
            <v>-1.2674971331083456E-2</v>
          </cell>
          <cell r="Q39">
            <v>-915.16584544772763</v>
          </cell>
          <cell r="R39">
            <v>-1.2674971331083454E-2</v>
          </cell>
          <cell r="T39">
            <v>-1047.1499999969169</v>
          </cell>
          <cell r="Y39" t="str">
            <v>Maintenance Expenses</v>
          </cell>
          <cell r="AA39" t="str">
            <v>-</v>
          </cell>
          <cell r="AB39">
            <v>0</v>
          </cell>
          <cell r="AD39">
            <v>-524.64338799999996</v>
          </cell>
          <cell r="AE39">
            <v>-9.6854997212845878E-3</v>
          </cell>
          <cell r="AG39">
            <v>-564.282810944012</v>
          </cell>
          <cell r="AH39">
            <v>-9.2695362300571175E-3</v>
          </cell>
          <cell r="AJ39">
            <v>-587.42167875640769</v>
          </cell>
          <cell r="AK39">
            <v>-9.2508132028300896E-3</v>
          </cell>
          <cell r="AM39">
            <v>-684.68770777056898</v>
          </cell>
          <cell r="AN39">
            <v>-9.4828681707319028E-3</v>
          </cell>
          <cell r="AP39">
            <v>-795.0858675856424</v>
          </cell>
          <cell r="AU39" t="str">
            <v>Maintenance Expenses</v>
          </cell>
          <cell r="AW39" t="str">
            <v>-</v>
          </cell>
          <cell r="AX39" t="e">
            <v>#DIV/0!</v>
          </cell>
          <cell r="AZ39" t="str">
            <v>-</v>
          </cell>
          <cell r="BA39" t="e">
            <v>#DIV/0!</v>
          </cell>
          <cell r="BC39" t="str">
            <v>-</v>
          </cell>
          <cell r="BD39" t="e">
            <v>#DIV/0!</v>
          </cell>
          <cell r="BF39" t="str">
            <v>-</v>
          </cell>
          <cell r="BG39" t="e">
            <v>#DIV/0!</v>
          </cell>
          <cell r="BI39" t="str">
            <v>-</v>
          </cell>
          <cell r="BJ39" t="e">
            <v>#DIV/0!</v>
          </cell>
          <cell r="BL39" t="str">
            <v>-</v>
          </cell>
          <cell r="BQ39" t="str">
            <v>Maintenance Expenses</v>
          </cell>
          <cell r="BS39" t="str">
            <v>-</v>
          </cell>
          <cell r="BT39" t="e">
            <v>#DIV/0!</v>
          </cell>
          <cell r="BV39" t="str">
            <v>-</v>
          </cell>
          <cell r="BW39" t="e">
            <v>#DIV/0!</v>
          </cell>
          <cell r="BY39" t="str">
            <v>-</v>
          </cell>
          <cell r="BZ39" t="e">
            <v>#DIV/0!</v>
          </cell>
          <cell r="CB39" t="str">
            <v>-</v>
          </cell>
          <cell r="CC39" t="e">
            <v>#DIV/0!</v>
          </cell>
          <cell r="CE39" t="str">
            <v>-</v>
          </cell>
          <cell r="CF39" t="e">
            <v>#DIV/0!</v>
          </cell>
          <cell r="CH39" t="str">
            <v>-</v>
          </cell>
          <cell r="CM39" t="str">
            <v>Maintenance Expenses</v>
          </cell>
          <cell r="CO39" t="str">
            <v>-</v>
          </cell>
          <cell r="CP39" t="e">
            <v>#DIV/0!</v>
          </cell>
          <cell r="CR39">
            <v>-38.759372999999997</v>
          </cell>
          <cell r="CS39" t="e">
            <v>#DIV/0!</v>
          </cell>
          <cell r="CU39">
            <v>-36.198901999999997</v>
          </cell>
          <cell r="CV39" t="e">
            <v>#DIV/0!</v>
          </cell>
          <cell r="CX39">
            <v>-34.476863999999999</v>
          </cell>
          <cell r="CY39" t="e">
            <v>#DIV/0!</v>
          </cell>
          <cell r="DA39">
            <v>-36.545475840000002</v>
          </cell>
          <cell r="DB39" t="e">
            <v>#DIV/0!</v>
          </cell>
          <cell r="DD39">
            <v>-38.738204390400007</v>
          </cell>
          <cell r="DI39" t="str">
            <v>Maintenance Expenses</v>
          </cell>
          <cell r="DK39" t="str">
            <v>-</v>
          </cell>
          <cell r="DL39" t="e">
            <v>#DIV/0!</v>
          </cell>
          <cell r="DN39">
            <v>-116.953335</v>
          </cell>
          <cell r="DO39" t="e">
            <v>#DIV/0!</v>
          </cell>
          <cell r="DQ39">
            <v>-160.39762316650001</v>
          </cell>
          <cell r="DR39" t="e">
            <v>#DIV/0!</v>
          </cell>
          <cell r="DT39">
            <v>-182.95534135581011</v>
          </cell>
          <cell r="DU39" t="e">
            <v>#DIV/0!</v>
          </cell>
          <cell r="DW39">
            <v>-193.93266183715872</v>
          </cell>
          <cell r="DX39" t="e">
            <v>#DIV/0!</v>
          </cell>
          <cell r="DZ39">
            <v>-213.32592802087461</v>
          </cell>
        </row>
        <row r="40">
          <cell r="C40" t="str">
            <v>Fees Expenses</v>
          </cell>
          <cell r="E40" t="str">
            <v>0</v>
          </cell>
          <cell r="F40">
            <v>0</v>
          </cell>
          <cell r="H40">
            <v>-135.81972500000001</v>
          </cell>
          <cell r="I40">
            <v>-2.5073829933266014E-3</v>
          </cell>
          <cell r="K40">
            <v>-118.28624600000001</v>
          </cell>
          <cell r="L40">
            <v>-1.9431012633188982E-3</v>
          </cell>
          <cell r="N40">
            <v>-123.40804113750056</v>
          </cell>
          <cell r="O40">
            <v>-1.9434501271846974E-3</v>
          </cell>
          <cell r="Q40">
            <v>-133.40804113750056</v>
          </cell>
          <cell r="R40">
            <v>-1.8476903450505844E-3</v>
          </cell>
          <cell r="T40">
            <v>-143.40804113750056</v>
          </cell>
          <cell r="Y40" t="str">
            <v>Fees Expenses</v>
          </cell>
          <cell r="AA40" t="str">
            <v>-</v>
          </cell>
          <cell r="AB40">
            <v>0</v>
          </cell>
          <cell r="AD40">
            <v>-52.102150000000002</v>
          </cell>
          <cell r="AE40">
            <v>-9.6186356455773702E-4</v>
          </cell>
          <cell r="AG40">
            <v>-42.708683999999998</v>
          </cell>
          <cell r="AH40">
            <v>-7.0158028208188816E-4</v>
          </cell>
          <cell r="AJ40">
            <v>-45.362573137500569</v>
          </cell>
          <cell r="AK40">
            <v>-7.1437726197495788E-4</v>
          </cell>
          <cell r="AM40">
            <v>-52.59987937750055</v>
          </cell>
          <cell r="AN40">
            <v>-7.2850398257825707E-4</v>
          </cell>
          <cell r="AP40">
            <v>-59.712171832700548</v>
          </cell>
          <cell r="AU40" t="str">
            <v>Fees Expenses</v>
          </cell>
          <cell r="AW40" t="str">
            <v>-</v>
          </cell>
          <cell r="AX40" t="e">
            <v>#DIV/0!</v>
          </cell>
          <cell r="AZ40" t="str">
            <v>-</v>
          </cell>
          <cell r="BA40" t="e">
            <v>#DIV/0!</v>
          </cell>
          <cell r="BC40" t="str">
            <v>-</v>
          </cell>
          <cell r="BD40" t="e">
            <v>#DIV/0!</v>
          </cell>
          <cell r="BF40" t="str">
            <v>-</v>
          </cell>
          <cell r="BG40" t="e">
            <v>#DIV/0!</v>
          </cell>
          <cell r="BI40" t="str">
            <v>-</v>
          </cell>
          <cell r="BJ40" t="e">
            <v>#DIV/0!</v>
          </cell>
          <cell r="BL40" t="str">
            <v>-</v>
          </cell>
          <cell r="BQ40" t="str">
            <v>Fees Expenses</v>
          </cell>
          <cell r="BS40" t="str">
            <v>-</v>
          </cell>
          <cell r="BT40" t="e">
            <v>#DIV/0!</v>
          </cell>
          <cell r="BV40" t="str">
            <v>-</v>
          </cell>
          <cell r="BW40" t="e">
            <v>#DIV/0!</v>
          </cell>
          <cell r="BY40" t="str">
            <v>-</v>
          </cell>
          <cell r="BZ40" t="e">
            <v>#DIV/0!</v>
          </cell>
          <cell r="CB40" t="str">
            <v>-</v>
          </cell>
          <cell r="CC40" t="e">
            <v>#DIV/0!</v>
          </cell>
          <cell r="CE40" t="str">
            <v>-</v>
          </cell>
          <cell r="CF40" t="e">
            <v>#DIV/0!</v>
          </cell>
          <cell r="CH40" t="str">
            <v>-</v>
          </cell>
          <cell r="CM40" t="str">
            <v>Fees Expenses</v>
          </cell>
          <cell r="CO40" t="str">
            <v>-</v>
          </cell>
          <cell r="CP40" t="e">
            <v>#DIV/0!</v>
          </cell>
          <cell r="CR40">
            <v>-78.917936999999995</v>
          </cell>
          <cell r="CS40" t="e">
            <v>#DIV/0!</v>
          </cell>
          <cell r="CU40">
            <v>-69.488202999999999</v>
          </cell>
          <cell r="CV40" t="e">
            <v>#DIV/0!</v>
          </cell>
          <cell r="CX40">
            <v>-72.026471999999998</v>
          </cell>
          <cell r="CY40" t="e">
            <v>#DIV/0!</v>
          </cell>
          <cell r="DA40">
            <v>-74.187266160000007</v>
          </cell>
          <cell r="DB40" t="e">
            <v>#DIV/0!</v>
          </cell>
          <cell r="DD40">
            <v>-76.412884144800003</v>
          </cell>
          <cell r="DI40" t="str">
            <v>Fees Expenses</v>
          </cell>
          <cell r="DK40" t="str">
            <v>-</v>
          </cell>
          <cell r="DL40" t="e">
            <v>#DIV/0!</v>
          </cell>
          <cell r="DN40">
            <v>-4.7996379999999998</v>
          </cell>
          <cell r="DO40" t="e">
            <v>#DIV/0!</v>
          </cell>
          <cell r="DQ40">
            <v>-6.089359</v>
          </cell>
          <cell r="DR40" t="e">
            <v>#DIV/0!</v>
          </cell>
          <cell r="DT40">
            <v>-6.0189959999999996</v>
          </cell>
          <cell r="DU40" t="e">
            <v>#DIV/0!</v>
          </cell>
          <cell r="DW40">
            <v>-6.6208955999999999</v>
          </cell>
          <cell r="DX40" t="e">
            <v>#DIV/0!</v>
          </cell>
          <cell r="DZ40">
            <v>-7.2829851600000008</v>
          </cell>
        </row>
        <row r="41">
          <cell r="C41" t="str">
            <v>Taxes Expenses</v>
          </cell>
          <cell r="E41" t="str">
            <v>0</v>
          </cell>
          <cell r="F41">
            <v>0</v>
          </cell>
          <cell r="H41">
            <v>-96.135714000000007</v>
          </cell>
          <cell r="I41">
            <v>-1.7747720688943383E-3</v>
          </cell>
          <cell r="K41">
            <v>-107.73610100000001</v>
          </cell>
          <cell r="L41">
            <v>-1.7697928629686365E-3</v>
          </cell>
          <cell r="N41">
            <v>-112.4573644532</v>
          </cell>
          <cell r="O41">
            <v>-1.7709970698417806E-3</v>
          </cell>
          <cell r="Q41">
            <v>-122.45736445320001</v>
          </cell>
          <cell r="R41">
            <v>-1.6960243779257204E-3</v>
          </cell>
          <cell r="T41">
            <v>-132.4573644532</v>
          </cell>
          <cell r="Y41" t="str">
            <v>Taxes Expenses</v>
          </cell>
          <cell r="AA41" t="str">
            <v>-</v>
          </cell>
          <cell r="AB41">
            <v>0</v>
          </cell>
          <cell r="AD41">
            <v>-71.700451000000001</v>
          </cell>
          <cell r="AE41">
            <v>-1.3236699709946204E-3</v>
          </cell>
          <cell r="AG41">
            <v>-66.946853000000004</v>
          </cell>
          <cell r="AH41">
            <v>-1.0997433686375049E-3</v>
          </cell>
          <cell r="AJ41">
            <v>-42.400593150649996</v>
          </cell>
          <cell r="AK41">
            <v>-6.6773151402284953E-4</v>
          </cell>
          <cell r="AM41">
            <v>-46.495318370875495</v>
          </cell>
          <cell r="AN41">
            <v>-6.4395631711116545E-4</v>
          </cell>
          <cell r="AP41">
            <v>-50.734831875069027</v>
          </cell>
          <cell r="AU41" t="str">
            <v>Taxes Expenses</v>
          </cell>
          <cell r="AW41" t="str">
            <v>-</v>
          </cell>
          <cell r="AX41" t="e">
            <v>#DIV/0!</v>
          </cell>
          <cell r="AZ41" t="str">
            <v>-</v>
          </cell>
          <cell r="BA41" t="e">
            <v>#DIV/0!</v>
          </cell>
          <cell r="BC41" t="str">
            <v>-</v>
          </cell>
          <cell r="BD41" t="e">
            <v>#DIV/0!</v>
          </cell>
          <cell r="BF41" t="str">
            <v>-</v>
          </cell>
          <cell r="BG41" t="e">
            <v>#DIV/0!</v>
          </cell>
          <cell r="BI41" t="str">
            <v>-</v>
          </cell>
          <cell r="BJ41" t="e">
            <v>#DIV/0!</v>
          </cell>
          <cell r="BL41" t="str">
            <v>-</v>
          </cell>
          <cell r="BQ41" t="str">
            <v>Taxes Expenses</v>
          </cell>
          <cell r="BS41" t="str">
            <v>-</v>
          </cell>
          <cell r="BT41" t="e">
            <v>#DIV/0!</v>
          </cell>
          <cell r="BV41" t="str">
            <v>-</v>
          </cell>
          <cell r="BW41" t="e">
            <v>#DIV/0!</v>
          </cell>
          <cell r="BY41" t="str">
            <v>-</v>
          </cell>
          <cell r="BZ41" t="e">
            <v>#DIV/0!</v>
          </cell>
          <cell r="CB41" t="str">
            <v>-</v>
          </cell>
          <cell r="CC41" t="e">
            <v>#DIV/0!</v>
          </cell>
          <cell r="CE41" t="str">
            <v>-</v>
          </cell>
          <cell r="CF41" t="e">
            <v>#DIV/0!</v>
          </cell>
          <cell r="CH41" t="str">
            <v>-</v>
          </cell>
          <cell r="CM41" t="str">
            <v>Taxes Expenses</v>
          </cell>
          <cell r="CO41" t="str">
            <v>-</v>
          </cell>
          <cell r="CP41" t="e">
            <v>#DIV/0!</v>
          </cell>
          <cell r="CR41">
            <v>-6.5268540000000002</v>
          </cell>
          <cell r="CS41" t="e">
            <v>#DIV/0!</v>
          </cell>
          <cell r="CU41">
            <v>-10.436544</v>
          </cell>
          <cell r="CV41" t="e">
            <v>#DIV/0!</v>
          </cell>
          <cell r="CX41">
            <v>-33.376692953199999</v>
          </cell>
          <cell r="CY41" t="e">
            <v>#DIV/0!</v>
          </cell>
          <cell r="DA41">
            <v>-36.714362248520004</v>
          </cell>
          <cell r="DB41" t="e">
            <v>#DIV/0!</v>
          </cell>
          <cell r="DD41">
            <v>-38.550080360946005</v>
          </cell>
          <cell r="DI41" t="str">
            <v>Taxes Expenses</v>
          </cell>
          <cell r="DK41" t="str">
            <v>-</v>
          </cell>
          <cell r="DL41" t="e">
            <v>#DIV/0!</v>
          </cell>
          <cell r="DN41">
            <v>-17.908408999999999</v>
          </cell>
          <cell r="DO41" t="e">
            <v>#DIV/0!</v>
          </cell>
          <cell r="DQ41">
            <v>-30.352703999999999</v>
          </cell>
          <cell r="DR41" t="e">
            <v>#DIV/0!</v>
          </cell>
          <cell r="DT41">
            <v>-36.680078349350005</v>
          </cell>
          <cell r="DU41" t="e">
            <v>#DIV/0!</v>
          </cell>
          <cell r="DW41">
            <v>-39.247683833804508</v>
          </cell>
          <cell r="DX41" t="e">
            <v>#DIV/0!</v>
          </cell>
          <cell r="DZ41">
            <v>-43.172452217184961</v>
          </cell>
        </row>
        <row r="42">
          <cell r="C42" t="str">
            <v>Other Expenses</v>
          </cell>
          <cell r="E42" t="str">
            <v>0</v>
          </cell>
          <cell r="F42">
            <v>0</v>
          </cell>
          <cell r="H42">
            <v>-839.41391899999996</v>
          </cell>
          <cell r="I42">
            <v>-1.5496513373607797E-2</v>
          </cell>
          <cell r="K42">
            <v>-817.97062397248101</v>
          </cell>
          <cell r="L42">
            <v>-1.3436894030762252E-2</v>
          </cell>
          <cell r="N42">
            <v>-866.90205929176</v>
          </cell>
          <cell r="O42">
            <v>-1.365211619808529E-2</v>
          </cell>
          <cell r="Q42">
            <v>-1024.7146776962918</v>
          </cell>
          <cell r="R42">
            <v>-1.419221360472284E-2</v>
          </cell>
          <cell r="T42">
            <v>-1180.098357803997</v>
          </cell>
          <cell r="Y42" t="str">
            <v>Other Expenses</v>
          </cell>
          <cell r="AA42" t="str">
            <v>-</v>
          </cell>
          <cell r="AB42">
            <v>0</v>
          </cell>
          <cell r="AD42">
            <v>-688.20704599999999</v>
          </cell>
          <cell r="AE42">
            <v>-1.2705066536012629E-2</v>
          </cell>
          <cell r="AG42">
            <v>-687.51073797248102</v>
          </cell>
          <cell r="AH42">
            <v>-1.1293815034924989E-2</v>
          </cell>
          <cell r="AJ42">
            <v>-733.04573716129528</v>
          </cell>
          <cell r="AK42">
            <v>-1.1544124823527471E-2</v>
          </cell>
          <cell r="AM42">
            <v>-873.72248952965208</v>
          </cell>
          <cell r="AN42">
            <v>-1.2100984276454568E-2</v>
          </cell>
          <cell r="AP42">
            <v>-1009.5822911516985</v>
          </cell>
          <cell r="AU42" t="str">
            <v>Other Expenses</v>
          </cell>
          <cell r="AW42" t="str">
            <v>-</v>
          </cell>
          <cell r="AX42" t="e">
            <v>#DIV/0!</v>
          </cell>
          <cell r="AZ42" t="str">
            <v>-</v>
          </cell>
          <cell r="BA42" t="e">
            <v>#DIV/0!</v>
          </cell>
          <cell r="BC42" t="str">
            <v>-</v>
          </cell>
          <cell r="BD42" t="e">
            <v>#DIV/0!</v>
          </cell>
          <cell r="BF42" t="str">
            <v>-</v>
          </cell>
          <cell r="BG42" t="e">
            <v>#DIV/0!</v>
          </cell>
          <cell r="BI42" t="str">
            <v>-</v>
          </cell>
          <cell r="BJ42" t="e">
            <v>#DIV/0!</v>
          </cell>
          <cell r="BL42" t="str">
            <v>-</v>
          </cell>
          <cell r="BQ42" t="str">
            <v>Other Expenses</v>
          </cell>
          <cell r="BS42" t="str">
            <v>-</v>
          </cell>
          <cell r="BT42" t="e">
            <v>#DIV/0!</v>
          </cell>
          <cell r="BV42" t="str">
            <v>-</v>
          </cell>
          <cell r="BW42" t="e">
            <v>#DIV/0!</v>
          </cell>
          <cell r="BY42" t="str">
            <v>-</v>
          </cell>
          <cell r="BZ42" t="e">
            <v>#DIV/0!</v>
          </cell>
          <cell r="CB42" t="str">
            <v>-</v>
          </cell>
          <cell r="CC42" t="e">
            <v>#DIV/0!</v>
          </cell>
          <cell r="CE42" t="str">
            <v>-</v>
          </cell>
          <cell r="CF42" t="e">
            <v>#DIV/0!</v>
          </cell>
          <cell r="CH42" t="str">
            <v>-</v>
          </cell>
          <cell r="CM42" t="str">
            <v>Other Expenses</v>
          </cell>
          <cell r="CO42" t="str">
            <v>-</v>
          </cell>
          <cell r="CP42" t="e">
            <v>#DIV/0!</v>
          </cell>
          <cell r="CR42">
            <v>-118.477102</v>
          </cell>
          <cell r="CS42" t="e">
            <v>#DIV/0!</v>
          </cell>
          <cell r="CU42">
            <v>-87.134690000000006</v>
          </cell>
          <cell r="CV42" t="e">
            <v>#DIV/0!</v>
          </cell>
          <cell r="CX42">
            <v>-88.077257139000011</v>
          </cell>
          <cell r="CY42" t="e">
            <v>#DIV/0!</v>
          </cell>
          <cell r="DA42">
            <v>-100.30407254365598</v>
          </cell>
          <cell r="DB42" t="e">
            <v>#DIV/0!</v>
          </cell>
          <cell r="DD42">
            <v>-113.83153203800455</v>
          </cell>
          <cell r="DI42" t="str">
            <v>Other Expenses</v>
          </cell>
          <cell r="DK42" t="str">
            <v>-</v>
          </cell>
          <cell r="DL42" t="e">
            <v>#DIV/0!</v>
          </cell>
          <cell r="DN42">
            <v>-32.729771</v>
          </cell>
          <cell r="DO42" t="e">
            <v>#DIV/0!</v>
          </cell>
          <cell r="DQ42">
            <v>-43.325195999999998</v>
          </cell>
          <cell r="DR42" t="e">
            <v>#DIV/0!</v>
          </cell>
          <cell r="DT42">
            <v>-45.779064991464658</v>
          </cell>
          <cell r="DU42" t="e">
            <v>#DIV/0!</v>
          </cell>
          <cell r="DW42">
            <v>-50.688115622983823</v>
          </cell>
          <cell r="DX42" t="e">
            <v>#DIV/0!</v>
          </cell>
          <cell r="DZ42">
            <v>-56.684534614293902</v>
          </cell>
        </row>
        <row r="43">
          <cell r="C43" t="str">
            <v>Depreciation and amortization</v>
          </cell>
          <cell r="E43">
            <v>-1551.1454489999999</v>
          </cell>
          <cell r="F43">
            <v>-2.9946406923546966E-2</v>
          </cell>
          <cell r="H43">
            <v>-1871.79487326</v>
          </cell>
          <cell r="I43">
            <v>-3.4555412567710948E-2</v>
          </cell>
          <cell r="K43">
            <v>-2318.7075681077999</v>
          </cell>
          <cell r="L43">
            <v>-3.8089666019643198E-2</v>
          </cell>
          <cell r="N43">
            <v>-2457.9160403860551</v>
          </cell>
          <cell r="O43">
            <v>-3.8707666026197282E-2</v>
          </cell>
          <cell r="Q43">
            <v>-2787.7627562150842</v>
          </cell>
          <cell r="R43">
            <v>-3.8610283795721741E-2</v>
          </cell>
          <cell r="T43">
            <v>-3190.6535194780499</v>
          </cell>
          <cell r="Y43" t="str">
            <v>Depreciation and amortization</v>
          </cell>
          <cell r="AA43">
            <v>-1253.9408209999999</v>
          </cell>
          <cell r="AB43">
            <v>-2.4208575738607324E-2</v>
          </cell>
          <cell r="AD43">
            <v>-1433.14971556</v>
          </cell>
          <cell r="AE43">
            <v>-2.645753570540656E-2</v>
          </cell>
          <cell r="AG43">
            <v>-1683.4124035899999</v>
          </cell>
          <cell r="AH43">
            <v>-2.7653601992766189E-2</v>
          </cell>
          <cell r="AJ43">
            <v>-1780.85132673406</v>
          </cell>
          <cell r="AK43">
            <v>-2.8045139567381382E-2</v>
          </cell>
          <cell r="AM43">
            <v>-1984.0781044316311</v>
          </cell>
          <cell r="AN43">
            <v>-2.7479317784196895E-2</v>
          </cell>
          <cell r="AP43">
            <v>-2298.6023946585728</v>
          </cell>
          <cell r="AU43" t="str">
            <v>Depreciation and amortization</v>
          </cell>
          <cell r="AW43" t="str">
            <v>-</v>
          </cell>
          <cell r="AX43" t="e">
            <v>#DIV/0!</v>
          </cell>
          <cell r="AZ43" t="str">
            <v>-</v>
          </cell>
          <cell r="BA43" t="e">
            <v>#DIV/0!</v>
          </cell>
          <cell r="BC43" t="str">
            <v>-</v>
          </cell>
          <cell r="BD43" t="e">
            <v>#DIV/0!</v>
          </cell>
          <cell r="BF43" t="str">
            <v>-</v>
          </cell>
          <cell r="BG43" t="e">
            <v>#DIV/0!</v>
          </cell>
          <cell r="BI43" t="str">
            <v>-</v>
          </cell>
          <cell r="BJ43" t="e">
            <v>#DIV/0!</v>
          </cell>
          <cell r="BL43" t="str">
            <v>-</v>
          </cell>
          <cell r="BQ43" t="str">
            <v>Depreciation and amortization</v>
          </cell>
          <cell r="BS43" t="str">
            <v>-</v>
          </cell>
          <cell r="BT43" t="e">
            <v>#DIV/0!</v>
          </cell>
          <cell r="BV43" t="str">
            <v>-</v>
          </cell>
          <cell r="BW43" t="e">
            <v>#DIV/0!</v>
          </cell>
          <cell r="BY43" t="str">
            <v>-</v>
          </cell>
          <cell r="BZ43" t="e">
            <v>#DIV/0!</v>
          </cell>
          <cell r="CB43" t="str">
            <v>-</v>
          </cell>
          <cell r="CC43" t="e">
            <v>#DIV/0!</v>
          </cell>
          <cell r="CE43" t="str">
            <v>-</v>
          </cell>
          <cell r="CF43" t="e">
            <v>#DIV/0!</v>
          </cell>
          <cell r="CH43" t="str">
            <v>-</v>
          </cell>
          <cell r="CM43" t="str">
            <v>Depreciation and amortization</v>
          </cell>
          <cell r="CO43">
            <v>-29.869851000000001</v>
          </cell>
          <cell r="CP43" t="e">
            <v>#DIV/0!</v>
          </cell>
          <cell r="CR43">
            <v>-52.438639000000002</v>
          </cell>
          <cell r="CS43" t="e">
            <v>#DIV/0!</v>
          </cell>
          <cell r="CU43">
            <v>-106.831345</v>
          </cell>
          <cell r="CV43" t="e">
            <v>#DIV/0!</v>
          </cell>
          <cell r="CX43">
            <v>-132.86141087222222</v>
          </cell>
          <cell r="CY43" t="e">
            <v>#DIV/0!</v>
          </cell>
          <cell r="DA43">
            <v>-156.14755195944443</v>
          </cell>
          <cell r="DB43" t="e">
            <v>#DIV/0!</v>
          </cell>
          <cell r="DD43">
            <v>-173.95492955741665</v>
          </cell>
          <cell r="DI43" t="str">
            <v>Depreciation and amortization</v>
          </cell>
          <cell r="DK43">
            <v>-267.33477699999997</v>
          </cell>
          <cell r="DL43" t="e">
            <v>#DIV/0!</v>
          </cell>
          <cell r="DN43">
            <v>-386.2065187</v>
          </cell>
          <cell r="DO43" t="e">
            <v>#DIV/0!</v>
          </cell>
          <cell r="DQ43">
            <v>-528.46381951779995</v>
          </cell>
          <cell r="DR43" t="e">
            <v>#DIV/0!</v>
          </cell>
          <cell r="DT43">
            <v>-544.20330277977268</v>
          </cell>
          <cell r="DU43" t="e">
            <v>#DIV/0!</v>
          </cell>
          <cell r="DW43">
            <v>-647.53709982400858</v>
          </cell>
          <cell r="DX43" t="e">
            <v>#DIV/0!</v>
          </cell>
          <cell r="DZ43">
            <v>-718.09619526206041</v>
          </cell>
        </row>
        <row r="44">
          <cell r="C44" t="str">
            <v>Leased property expenses</v>
          </cell>
          <cell r="E44">
            <v>-1649.7418819999998</v>
          </cell>
          <cell r="F44">
            <v>-3.1849909206799469E-2</v>
          </cell>
          <cell r="H44">
            <v>-1876.126802</v>
          </cell>
          <cell r="I44">
            <v>-3.4635384784198496E-2</v>
          </cell>
          <cell r="K44">
            <v>-2071.524783422813</v>
          </cell>
          <cell r="L44">
            <v>-3.4029167039972469E-2</v>
          </cell>
          <cell r="N44">
            <v>-2022.5882749386076</v>
          </cell>
          <cell r="O44">
            <v>-3.1852052783108674E-2</v>
          </cell>
          <cell r="Q44">
            <v>-2227.1559601050431</v>
          </cell>
          <cell r="R44">
            <v>-3.084592599756877E-2</v>
          </cell>
          <cell r="T44">
            <v>-2485.5033382603106</v>
          </cell>
          <cell r="Y44" t="str">
            <v>Leased property expenses</v>
          </cell>
          <cell r="AA44">
            <v>-1338.0713009999999</v>
          </cell>
          <cell r="AB44">
            <v>-2.5832798399594761E-2</v>
          </cell>
          <cell r="AD44">
            <v>-1463.110226</v>
          </cell>
          <cell r="AE44">
            <v>-2.7010640008545448E-2</v>
          </cell>
          <cell r="AG44">
            <v>-1587.5198181493899</v>
          </cell>
          <cell r="AH44">
            <v>-2.6078363871568526E-2</v>
          </cell>
          <cell r="AJ44">
            <v>-1547.9678019986181</v>
          </cell>
          <cell r="AK44">
            <v>-2.4377651520455547E-2</v>
          </cell>
          <cell r="AM44">
            <v>-1695.5443663441758</v>
          </cell>
          <cell r="AN44">
            <v>-2.3483149355818054E-2</v>
          </cell>
          <cell r="AP44">
            <v>-1901.7328833918536</v>
          </cell>
          <cell r="AU44" t="str">
            <v>Leased property expenses</v>
          </cell>
          <cell r="AW44" t="str">
            <v>-</v>
          </cell>
          <cell r="AX44" t="e">
            <v>#DIV/0!</v>
          </cell>
          <cell r="AZ44" t="str">
            <v>-</v>
          </cell>
          <cell r="BA44" t="e">
            <v>#DIV/0!</v>
          </cell>
          <cell r="BC44" t="str">
            <v>-</v>
          </cell>
          <cell r="BD44" t="e">
            <v>#DIV/0!</v>
          </cell>
          <cell r="BF44" t="str">
            <v>-</v>
          </cell>
          <cell r="BG44" t="e">
            <v>#DIV/0!</v>
          </cell>
          <cell r="BI44" t="str">
            <v>-</v>
          </cell>
          <cell r="BJ44" t="e">
            <v>#DIV/0!</v>
          </cell>
          <cell r="BL44" t="str">
            <v>-</v>
          </cell>
          <cell r="BQ44" t="str">
            <v>Leased property expenses</v>
          </cell>
          <cell r="BS44" t="str">
            <v>-</v>
          </cell>
          <cell r="BT44" t="e">
            <v>#DIV/0!</v>
          </cell>
          <cell r="BV44" t="str">
            <v>-</v>
          </cell>
          <cell r="BW44" t="e">
            <v>#DIV/0!</v>
          </cell>
          <cell r="BY44" t="str">
            <v>-</v>
          </cell>
          <cell r="BZ44" t="e">
            <v>#DIV/0!</v>
          </cell>
          <cell r="CB44" t="str">
            <v>-</v>
          </cell>
          <cell r="CC44" t="e">
            <v>#DIV/0!</v>
          </cell>
          <cell r="CE44" t="str">
            <v>-</v>
          </cell>
          <cell r="CF44" t="e">
            <v>#DIV/0!</v>
          </cell>
          <cell r="CH44" t="str">
            <v>-</v>
          </cell>
          <cell r="CM44" t="str">
            <v>Leased property expenses</v>
          </cell>
          <cell r="CO44">
            <v>-10.75534</v>
          </cell>
          <cell r="CP44" t="e">
            <v>#DIV/0!</v>
          </cell>
          <cell r="CR44">
            <v>-11.338808</v>
          </cell>
          <cell r="CS44" t="e">
            <v>#DIV/0!</v>
          </cell>
          <cell r="CU44">
            <v>-11.982466000000001</v>
          </cell>
          <cell r="CV44" t="e">
            <v>#DIV/0!</v>
          </cell>
          <cell r="CX44">
            <v>-12.629197459999999</v>
          </cell>
          <cell r="CY44" t="e">
            <v>#DIV/0!</v>
          </cell>
          <cell r="DA44">
            <v>-12.8817814092</v>
          </cell>
          <cell r="DB44" t="e">
            <v>#DIV/0!</v>
          </cell>
          <cell r="DD44">
            <v>-13.139417037384</v>
          </cell>
          <cell r="DI44" t="str">
            <v>Leased property expenses</v>
          </cell>
          <cell r="DK44">
            <v>-300.91524099999998</v>
          </cell>
          <cell r="DL44" t="e">
            <v>#DIV/0!</v>
          </cell>
          <cell r="DN44">
            <v>-401.67776800000001</v>
          </cell>
          <cell r="DO44" t="e">
            <v>#DIV/0!</v>
          </cell>
          <cell r="DQ44">
            <v>-472.02249927342302</v>
          </cell>
          <cell r="DR44" t="e">
            <v>#DIV/0!</v>
          </cell>
          <cell r="DT44">
            <v>-461.9912754799895</v>
          </cell>
          <cell r="DU44" t="e">
            <v>#DIV/0!</v>
          </cell>
          <cell r="DW44">
            <v>-518.72981235166708</v>
          </cell>
          <cell r="DX44" t="e">
            <v>#DIV/0!</v>
          </cell>
          <cell r="DZ44">
            <v>-570.63103783107283</v>
          </cell>
        </row>
        <row r="45">
          <cell r="C45" t="str">
            <v>Cost sharing</v>
          </cell>
          <cell r="E45">
            <v>-231.19080000000008</v>
          </cell>
          <cell r="F45">
            <v>-4.4633685243661275E-3</v>
          </cell>
          <cell r="H45">
            <v>-240.18258500000002</v>
          </cell>
          <cell r="I45">
            <v>-4.4340373161720131E-3</v>
          </cell>
          <cell r="K45">
            <v>-309.15266599999995</v>
          </cell>
          <cell r="L45">
            <v>-5.0784850832361799E-3</v>
          </cell>
          <cell r="N45">
            <v>-340.31017731282941</v>
          </cell>
          <cell r="O45">
            <v>-5.3592606388101075E-3</v>
          </cell>
          <cell r="Q45">
            <v>-378.38636155701988</v>
          </cell>
          <cell r="R45">
            <v>-5.2406198381035902E-3</v>
          </cell>
          <cell r="T45">
            <v>-423.94312315121977</v>
          </cell>
          <cell r="Y45" t="str">
            <v>Cost sharing</v>
          </cell>
          <cell r="AA45">
            <v>-776.96058400000004</v>
          </cell>
          <cell r="AB45">
            <v>-1.4999997470914603E-2</v>
          </cell>
          <cell r="AD45">
            <v>-749.04318699999999</v>
          </cell>
          <cell r="AE45">
            <v>-1.3828169276229629E-2</v>
          </cell>
          <cell r="AG45">
            <v>-913.12466216263499</v>
          </cell>
          <cell r="AH45">
            <v>-1.4999999954482097E-2</v>
          </cell>
          <cell r="AJ45">
            <v>-952.49203650112941</v>
          </cell>
          <cell r="AK45">
            <v>-1.5000001235073676E-2</v>
          </cell>
          <cell r="AM45">
            <v>-1083.0389539097828</v>
          </cell>
          <cell r="AN45">
            <v>-1.5000000010421276E-2</v>
          </cell>
          <cell r="AP45">
            <v>-1239.2335650898967</v>
          </cell>
          <cell r="AU45" t="str">
            <v>Cost sharing</v>
          </cell>
          <cell r="AW45" t="str">
            <v>-</v>
          </cell>
          <cell r="AX45" t="e">
            <v>#DIV/0!</v>
          </cell>
          <cell r="AZ45" t="str">
            <v>-</v>
          </cell>
          <cell r="BA45" t="e">
            <v>#DIV/0!</v>
          </cell>
          <cell r="BC45" t="str">
            <v>-</v>
          </cell>
          <cell r="BD45" t="e">
            <v>#DIV/0!</v>
          </cell>
          <cell r="BF45" t="str">
            <v>-</v>
          </cell>
          <cell r="BG45" t="e">
            <v>#DIV/0!</v>
          </cell>
          <cell r="BI45" t="str">
            <v>-</v>
          </cell>
          <cell r="BJ45" t="e">
            <v>#DIV/0!</v>
          </cell>
          <cell r="BL45" t="str">
            <v>-</v>
          </cell>
          <cell r="BQ45" t="str">
            <v>Cost sharing</v>
          </cell>
          <cell r="BS45" t="str">
            <v>-</v>
          </cell>
          <cell r="BT45" t="e">
            <v>#DIV/0!</v>
          </cell>
          <cell r="BV45" t="str">
            <v>-</v>
          </cell>
          <cell r="BW45" t="e">
            <v>#DIV/0!</v>
          </cell>
          <cell r="BY45" t="str">
            <v>-</v>
          </cell>
          <cell r="BZ45" t="e">
            <v>#DIV/0!</v>
          </cell>
          <cell r="CB45" t="str">
            <v>-</v>
          </cell>
          <cell r="CC45" t="e">
            <v>#DIV/0!</v>
          </cell>
          <cell r="CE45" t="str">
            <v>-</v>
          </cell>
          <cell r="CF45" t="e">
            <v>#DIV/0!</v>
          </cell>
          <cell r="CH45" t="str">
            <v>-</v>
          </cell>
          <cell r="CM45" t="str">
            <v>Cost sharing</v>
          </cell>
          <cell r="CO45">
            <v>545.76978399999996</v>
          </cell>
          <cell r="CP45" t="e">
            <v>#DIV/0!</v>
          </cell>
          <cell r="CR45">
            <v>508.86060199999997</v>
          </cell>
          <cell r="CS45" t="e">
            <v>#DIV/0!</v>
          </cell>
          <cell r="CU45">
            <v>603.97199616263504</v>
          </cell>
          <cell r="CV45" t="e">
            <v>#DIV/0!</v>
          </cell>
          <cell r="CX45">
            <v>612.1818591883</v>
          </cell>
          <cell r="CY45" t="e">
            <v>#DIV/0!</v>
          </cell>
          <cell r="DA45">
            <v>704.65259235276289</v>
          </cell>
          <cell r="DB45" t="e">
            <v>#DIV/0!</v>
          </cell>
          <cell r="DD45">
            <v>815.29044193867696</v>
          </cell>
          <cell r="DI45" t="str">
            <v>Cost sharing</v>
          </cell>
          <cell r="DK45" t="str">
            <v>-</v>
          </cell>
          <cell r="DL45" t="e">
            <v>#DIV/0!</v>
          </cell>
          <cell r="DN45" t="str">
            <v>-</v>
          </cell>
          <cell r="DO45" t="e">
            <v>#DIV/0!</v>
          </cell>
          <cell r="DQ45" t="str">
            <v>-</v>
          </cell>
          <cell r="DR45" t="e">
            <v>#DIV/0!</v>
          </cell>
          <cell r="DT45" t="str">
            <v>-</v>
          </cell>
          <cell r="DU45" t="e">
            <v>#DIV/0!</v>
          </cell>
          <cell r="DW45">
            <v>0</v>
          </cell>
          <cell r="DX45" t="e">
            <v>#DIV/0!</v>
          </cell>
          <cell r="DZ45" t="str">
            <v>-</v>
          </cell>
        </row>
        <row r="46">
          <cell r="C46" t="str">
            <v>Distribution costs</v>
          </cell>
          <cell r="E46">
            <v>-10463.185884</v>
          </cell>
          <cell r="F46">
            <v>-0.20200221868360491</v>
          </cell>
          <cell r="H46">
            <v>-12221.600052260001</v>
          </cell>
          <cell r="I46">
            <v>-0.22562431283288364</v>
          </cell>
          <cell r="K46">
            <v>-13447.718029515268</v>
          </cell>
          <cell r="L46">
            <v>-0.22090715341416314</v>
          </cell>
          <cell r="N46">
            <v>-13797.873431664606</v>
          </cell>
          <cell r="O46">
            <v>-0.21729117996265152</v>
          </cell>
          <cell r="Q46">
            <v>-15502.409863454515</v>
          </cell>
          <cell r="R46">
            <v>-0.21470709550558134</v>
          </cell>
          <cell r="T46">
            <v>-17589.762367849966</v>
          </cell>
          <cell r="Y46" t="str">
            <v>Distribution costs</v>
          </cell>
          <cell r="AA46">
            <v>-9488.2320060000002</v>
          </cell>
          <cell r="AB46">
            <v>-0.1831797635868887</v>
          </cell>
          <cell r="AD46">
            <v>-10677.599523560002</v>
          </cell>
          <cell r="AE46">
            <v>-0.19712034798278799</v>
          </cell>
          <cell r="AG46">
            <v>-11625.446476720183</v>
          </cell>
          <cell r="AH46">
            <v>-0.19097249679866601</v>
          </cell>
          <cell r="AJ46">
            <v>-11845.216123116106</v>
          </cell>
          <cell r="AK46">
            <v>-0.1865404115389111</v>
          </cell>
          <cell r="AM46">
            <v>-13366.089236488611</v>
          </cell>
          <cell r="AN46">
            <v>-0.1851192313654508</v>
          </cell>
          <cell r="AP46">
            <v>-15319.537073673437</v>
          </cell>
          <cell r="AU46" t="str">
            <v>Distribution costs</v>
          </cell>
          <cell r="AW46" t="str">
            <v>-</v>
          </cell>
          <cell r="AX46" t="e">
            <v>#DIV/0!</v>
          </cell>
          <cell r="AZ46" t="str">
            <v>-</v>
          </cell>
          <cell r="BA46" t="e">
            <v>#DIV/0!</v>
          </cell>
          <cell r="BC46" t="str">
            <v>-</v>
          </cell>
          <cell r="BD46" t="e">
            <v>#DIV/0!</v>
          </cell>
          <cell r="BF46" t="str">
            <v>-</v>
          </cell>
          <cell r="BG46" t="e">
            <v>#DIV/0!</v>
          </cell>
          <cell r="BI46" t="str">
            <v>-</v>
          </cell>
          <cell r="BJ46" t="e">
            <v>#DIV/0!</v>
          </cell>
          <cell r="BL46" t="str">
            <v>-</v>
          </cell>
          <cell r="BQ46" t="str">
            <v>Distribution costs</v>
          </cell>
          <cell r="BS46" t="str">
            <v>-</v>
          </cell>
          <cell r="BT46" t="e">
            <v>#DIV/0!</v>
          </cell>
          <cell r="BV46" t="str">
            <v>-</v>
          </cell>
          <cell r="BW46" t="e">
            <v>#DIV/0!</v>
          </cell>
          <cell r="BY46" t="str">
            <v>-</v>
          </cell>
          <cell r="BZ46" t="e">
            <v>#DIV/0!</v>
          </cell>
          <cell r="CB46" t="str">
            <v>-</v>
          </cell>
          <cell r="CC46" t="e">
            <v>#DIV/0!</v>
          </cell>
          <cell r="CE46" t="str">
            <v>-</v>
          </cell>
          <cell r="CF46" t="e">
            <v>#DIV/0!</v>
          </cell>
          <cell r="CH46" t="str">
            <v>-</v>
          </cell>
          <cell r="CM46" t="str">
            <v>Distribution costs</v>
          </cell>
          <cell r="CO46">
            <v>-71.686182000000031</v>
          </cell>
          <cell r="CP46" t="e">
            <v>#DIV/0!</v>
          </cell>
          <cell r="CR46">
            <v>-310.54949900000008</v>
          </cell>
          <cell r="CS46" t="e">
            <v>#DIV/0!</v>
          </cell>
          <cell r="CU46">
            <v>-285.974563837365</v>
          </cell>
          <cell r="CV46" t="e">
            <v>#DIV/0!</v>
          </cell>
          <cell r="CX46">
            <v>-374.68345023652228</v>
          </cell>
          <cell r="CY46" t="e">
            <v>#DIV/0!</v>
          </cell>
          <cell r="DA46">
            <v>-357.95108730848165</v>
          </cell>
          <cell r="DB46" t="e">
            <v>#DIV/0!</v>
          </cell>
          <cell r="DD46">
            <v>-318.22188905272372</v>
          </cell>
          <cell r="DI46" t="str">
            <v>Distribution costs</v>
          </cell>
          <cell r="DK46">
            <v>-903.26769599999989</v>
          </cell>
          <cell r="DL46" t="e">
            <v>#DIV/0!</v>
          </cell>
          <cell r="DN46">
            <v>-1233.4510297000002</v>
          </cell>
          <cell r="DO46" t="e">
            <v>#DIV/0!</v>
          </cell>
          <cell r="DQ46">
            <v>-1536.296988957723</v>
          </cell>
          <cell r="DR46" t="e">
            <v>#DIV/0!</v>
          </cell>
          <cell r="DT46">
            <v>-1577.9738583119786</v>
          </cell>
          <cell r="DU46" t="e">
            <v>#DIV/0!</v>
          </cell>
          <cell r="DW46">
            <v>-1778.3695396574226</v>
          </cell>
          <cell r="DX46" t="e">
            <v>#DIV/0!</v>
          </cell>
          <cell r="DZ46">
            <v>-1952.0034051238049</v>
          </cell>
        </row>
        <row r="47">
          <cell r="C47" t="str">
            <v>Distribution costs wo Cost Sharing</v>
          </cell>
          <cell r="E47">
            <v>-10231.995084</v>
          </cell>
          <cell r="F47">
            <v>-0.19753885015923878</v>
          </cell>
          <cell r="H47">
            <v>-11981.41746726</v>
          </cell>
          <cell r="I47">
            <v>-0.22119027551671164</v>
          </cell>
          <cell r="K47">
            <v>-13138.56536351527</v>
          </cell>
          <cell r="L47">
            <v>-0.21582866833092701</v>
          </cell>
          <cell r="N47">
            <v>-13457.563254351777</v>
          </cell>
          <cell r="O47">
            <v>-0.21193191932384142</v>
          </cell>
          <cell r="Q47">
            <v>-15124.023501897494</v>
          </cell>
          <cell r="R47">
            <v>-0.20946647566747773</v>
          </cell>
          <cell r="T47">
            <v>-17165.819244698745</v>
          </cell>
          <cell r="Y47" t="str">
            <v>Distribution costs wo Cost Sharing</v>
          </cell>
          <cell r="AA47">
            <v>-8711.2714219999998</v>
          </cell>
          <cell r="AB47">
            <v>-0.1681797661159741</v>
          </cell>
          <cell r="AD47">
            <v>-9928.556336560001</v>
          </cell>
          <cell r="AE47">
            <v>-0.18329217870655834</v>
          </cell>
          <cell r="AG47">
            <v>-10712.321814557547</v>
          </cell>
          <cell r="AH47">
            <v>-0.1759724968441839</v>
          </cell>
          <cell r="AJ47">
            <v>-10892.724086614977</v>
          </cell>
          <cell r="AK47">
            <v>-0.17154041030383743</v>
          </cell>
          <cell r="AM47">
            <v>-12283.050282578828</v>
          </cell>
          <cell r="AN47">
            <v>-0.17011923135502952</v>
          </cell>
          <cell r="AP47">
            <v>-14080.30350858354</v>
          </cell>
          <cell r="AU47" t="str">
            <v>Distribution costs wo Cost Sharing</v>
          </cell>
          <cell r="AW47" t="str">
            <v>-</v>
          </cell>
          <cell r="AX47" t="e">
            <v>#DIV/0!</v>
          </cell>
          <cell r="AZ47" t="str">
            <v>-</v>
          </cell>
          <cell r="BA47" t="e">
            <v>#DIV/0!</v>
          </cell>
          <cell r="BC47" t="str">
            <v>-</v>
          </cell>
          <cell r="BD47" t="e">
            <v>#DIV/0!</v>
          </cell>
          <cell r="BF47" t="str">
            <v>-</v>
          </cell>
          <cell r="BG47" t="e">
            <v>#DIV/0!</v>
          </cell>
          <cell r="BI47" t="str">
            <v>-</v>
          </cell>
          <cell r="BJ47" t="e">
            <v>#DIV/0!</v>
          </cell>
          <cell r="BL47" t="str">
            <v>-</v>
          </cell>
          <cell r="BQ47" t="str">
            <v>Distribution costs wo Cost Sharing</v>
          </cell>
          <cell r="BS47" t="str">
            <v>-</v>
          </cell>
          <cell r="BT47" t="e">
            <v>#DIV/0!</v>
          </cell>
          <cell r="BV47" t="str">
            <v>-</v>
          </cell>
          <cell r="BW47" t="e">
            <v>#DIV/0!</v>
          </cell>
          <cell r="BY47" t="str">
            <v>-</v>
          </cell>
          <cell r="BZ47" t="e">
            <v>#DIV/0!</v>
          </cell>
          <cell r="CB47" t="str">
            <v>-</v>
          </cell>
          <cell r="CC47" t="e">
            <v>#DIV/0!</v>
          </cell>
          <cell r="CE47" t="str">
            <v>-</v>
          </cell>
          <cell r="CF47" t="e">
            <v>#DIV/0!</v>
          </cell>
          <cell r="CH47" t="str">
            <v>-</v>
          </cell>
          <cell r="CM47" t="str">
            <v>Distribution costs wo Cost Sharing</v>
          </cell>
          <cell r="CO47">
            <v>-617.4559660000001</v>
          </cell>
          <cell r="CP47" t="e">
            <v>#DIV/0!</v>
          </cell>
          <cell r="CR47">
            <v>-819.41010099999994</v>
          </cell>
          <cell r="CS47" t="e">
            <v>#DIV/0!</v>
          </cell>
          <cell r="CU47">
            <v>-889.94655999999998</v>
          </cell>
          <cell r="CV47" t="e">
            <v>#DIV/0!</v>
          </cell>
          <cell r="CX47">
            <v>-986.86530942482227</v>
          </cell>
          <cell r="CY47" t="e">
            <v>#DIV/0!</v>
          </cell>
          <cell r="DA47">
            <v>-1062.6036796612443</v>
          </cell>
          <cell r="DB47" t="e">
            <v>#DIV/0!</v>
          </cell>
          <cell r="DD47">
            <v>-1133.5123309914006</v>
          </cell>
          <cell r="DI47" t="str">
            <v>Distribution costs wo Cost Sharing</v>
          </cell>
          <cell r="DK47">
            <v>-903.26769599999989</v>
          </cell>
          <cell r="DL47" t="e">
            <v>#DIV/0!</v>
          </cell>
          <cell r="DN47">
            <v>-1233.4510297000002</v>
          </cell>
          <cell r="DO47" t="e">
            <v>#DIV/0!</v>
          </cell>
          <cell r="DQ47">
            <v>-1536.296988957723</v>
          </cell>
          <cell r="DR47" t="e">
            <v>#DIV/0!</v>
          </cell>
          <cell r="DT47">
            <v>-1577.9738583119786</v>
          </cell>
          <cell r="DU47" t="e">
            <v>#DIV/0!</v>
          </cell>
          <cell r="DW47">
            <v>-1778.3695396574226</v>
          </cell>
          <cell r="DX47" t="e">
            <v>#DIV/0!</v>
          </cell>
          <cell r="DZ47">
            <v>-1952.0034051238049</v>
          </cell>
        </row>
        <row r="48">
          <cell r="C48" t="str">
            <v>Provisions</v>
          </cell>
          <cell r="E48" t="str">
            <v>0</v>
          </cell>
          <cell r="H48" t="str">
            <v>0</v>
          </cell>
          <cell r="K48" t="str">
            <v>0</v>
          </cell>
          <cell r="N48" t="str">
            <v>0</v>
          </cell>
          <cell r="Q48" t="str">
            <v>0</v>
          </cell>
          <cell r="T48" t="str">
            <v>0</v>
          </cell>
          <cell r="Y48" t="str">
            <v>Provisions</v>
          </cell>
          <cell r="AA48" t="str">
            <v>-</v>
          </cell>
          <cell r="AD48" t="str">
            <v>-</v>
          </cell>
          <cell r="AG48" t="str">
            <v>-</v>
          </cell>
          <cell r="AJ48" t="str">
            <v>-</v>
          </cell>
          <cell r="AM48" t="str">
            <v>-</v>
          </cell>
          <cell r="AP48" t="str">
            <v>-</v>
          </cell>
          <cell r="AU48" t="str">
            <v>Provisions</v>
          </cell>
          <cell r="AW48" t="str">
            <v>-</v>
          </cell>
          <cell r="AZ48" t="str">
            <v>-</v>
          </cell>
          <cell r="BC48" t="str">
            <v>-</v>
          </cell>
          <cell r="BF48" t="str">
            <v>-</v>
          </cell>
          <cell r="BI48" t="str">
            <v>-</v>
          </cell>
          <cell r="BL48" t="str">
            <v>-</v>
          </cell>
          <cell r="BQ48" t="str">
            <v>Provisions</v>
          </cell>
          <cell r="BS48" t="str">
            <v>-</v>
          </cell>
          <cell r="BV48" t="str">
            <v>-</v>
          </cell>
          <cell r="BY48" t="str">
            <v>-</v>
          </cell>
          <cell r="CB48" t="str">
            <v>-</v>
          </cell>
          <cell r="CE48" t="str">
            <v>-</v>
          </cell>
          <cell r="CH48" t="str">
            <v>-</v>
          </cell>
          <cell r="CM48" t="str">
            <v>Provisions</v>
          </cell>
          <cell r="CO48" t="str">
            <v>-</v>
          </cell>
          <cell r="CR48" t="str">
            <v>-</v>
          </cell>
          <cell r="CU48" t="str">
            <v>-</v>
          </cell>
          <cell r="CX48" t="str">
            <v>-</v>
          </cell>
          <cell r="DA48" t="str">
            <v>-</v>
          </cell>
          <cell r="DD48" t="str">
            <v>-</v>
          </cell>
          <cell r="DI48" t="str">
            <v>Provisions</v>
          </cell>
          <cell r="DK48" t="str">
            <v>-</v>
          </cell>
          <cell r="DN48" t="str">
            <v>-</v>
          </cell>
          <cell r="DQ48" t="str">
            <v>-</v>
          </cell>
          <cell r="DT48" t="str">
            <v>-</v>
          </cell>
          <cell r="DW48" t="str">
            <v>-</v>
          </cell>
          <cell r="DZ48" t="str">
            <v>-</v>
          </cell>
        </row>
        <row r="50">
          <cell r="C50" t="str">
            <v>Activity contribution</v>
          </cell>
          <cell r="E50">
            <v>2205.2751620999993</v>
          </cell>
          <cell r="F50">
            <v>4.2575032164270998E-2</v>
          </cell>
          <cell r="H50">
            <v>1727.705690739999</v>
          </cell>
          <cell r="I50">
            <v>3.1895366202774021E-2</v>
          </cell>
          <cell r="K50">
            <v>2455.9353877851636</v>
          </cell>
          <cell r="L50">
            <v>4.0343922611551467E-2</v>
          </cell>
          <cell r="N50">
            <v>2772.8035638113161</v>
          </cell>
          <cell r="O50">
            <v>4.3666566530645337E-2</v>
          </cell>
          <cell r="Q50">
            <v>3329.3489544378353</v>
          </cell>
          <cell r="R50">
            <v>4.611120788497846E-2</v>
          </cell>
          <cell r="T50">
            <v>3942.7744819004765</v>
          </cell>
          <cell r="Y50" t="str">
            <v>Activity contribution</v>
          </cell>
          <cell r="AA50">
            <v>1996.7554200999984</v>
          </cell>
          <cell r="AB50">
            <v>3.8549350981664475E-2</v>
          </cell>
          <cell r="AD50">
            <v>1383.7959444399983</v>
          </cell>
          <cell r="AE50">
            <v>2.5546410267898674E-2</v>
          </cell>
          <cell r="AG50">
            <v>2063.4756135802509</v>
          </cell>
          <cell r="AH50">
            <v>3.3896942435518024E-2</v>
          </cell>
          <cell r="AJ50">
            <v>2558.9980649838931</v>
          </cell>
          <cell r="AK50">
            <v>4.0299522373239319E-2</v>
          </cell>
          <cell r="AM50">
            <v>3025.1813653197278</v>
          </cell>
          <cell r="AN50">
            <v>4.1898511911790511E-2</v>
          </cell>
          <cell r="AP50">
            <v>3557.3528130168033</v>
          </cell>
          <cell r="AU50" t="str">
            <v>Activity contribution</v>
          </cell>
          <cell r="AW50" t="str">
            <v>-</v>
          </cell>
          <cell r="AX50" t="e">
            <v>#DIV/0!</v>
          </cell>
          <cell r="AZ50" t="str">
            <v>-</v>
          </cell>
          <cell r="BA50" t="e">
            <v>#DIV/0!</v>
          </cell>
          <cell r="BC50" t="str">
            <v>-</v>
          </cell>
          <cell r="BD50" t="e">
            <v>#DIV/0!</v>
          </cell>
          <cell r="BF50" t="str">
            <v>-</v>
          </cell>
          <cell r="BG50" t="e">
            <v>#DIV/0!</v>
          </cell>
          <cell r="BI50" t="str">
            <v>-</v>
          </cell>
          <cell r="BJ50" t="e">
            <v>#DIV/0!</v>
          </cell>
          <cell r="BL50" t="str">
            <v>-</v>
          </cell>
          <cell r="BQ50" t="str">
            <v>Activity contribution</v>
          </cell>
          <cell r="BS50" t="str">
            <v>-</v>
          </cell>
          <cell r="BT50" t="e">
            <v>#DIV/0!</v>
          </cell>
          <cell r="BV50" t="str">
            <v>-</v>
          </cell>
          <cell r="BW50" t="e">
            <v>#DIV/0!</v>
          </cell>
          <cell r="BY50" t="str">
            <v>-</v>
          </cell>
          <cell r="BZ50" t="e">
            <v>#DIV/0!</v>
          </cell>
          <cell r="CB50" t="str">
            <v>-</v>
          </cell>
          <cell r="CC50" t="e">
            <v>#DIV/0!</v>
          </cell>
          <cell r="CE50" t="str">
            <v>-</v>
          </cell>
          <cell r="CF50" t="e">
            <v>#DIV/0!</v>
          </cell>
          <cell r="CH50" t="str">
            <v>-</v>
          </cell>
          <cell r="CM50" t="str">
            <v>Activity contribution</v>
          </cell>
          <cell r="CO50">
            <v>-28.556795000000022</v>
          </cell>
          <cell r="CP50" t="e">
            <v>#DIV/0!</v>
          </cell>
          <cell r="CR50">
            <v>36.607548999999999</v>
          </cell>
          <cell r="CS50" t="e">
            <v>#DIV/0!</v>
          </cell>
          <cell r="CU50">
            <v>-92.776235837364979</v>
          </cell>
          <cell r="CV50" t="e">
            <v>#DIV/0!</v>
          </cell>
          <cell r="CX50">
            <v>-275.21982880682231</v>
          </cell>
          <cell r="CY50" t="e">
            <v>#DIV/0!</v>
          </cell>
          <cell r="DA50">
            <v>-256.49728359377679</v>
          </cell>
          <cell r="DB50" t="e">
            <v>#DIV/0!</v>
          </cell>
          <cell r="DD50">
            <v>-214.73993731726392</v>
          </cell>
          <cell r="DI50" t="str">
            <v>Activity contribution</v>
          </cell>
          <cell r="DK50">
            <v>237.07653700000031</v>
          </cell>
          <cell r="DL50" t="e">
            <v>#DIV/0!</v>
          </cell>
          <cell r="DN50">
            <v>307.30219729999976</v>
          </cell>
          <cell r="DO50" t="e">
            <v>#DIV/0!</v>
          </cell>
          <cell r="DQ50">
            <v>485.23601004227692</v>
          </cell>
          <cell r="DR50" t="e">
            <v>#DIV/0!</v>
          </cell>
          <cell r="DT50">
            <v>489.02532763424648</v>
          </cell>
          <cell r="DU50" t="e">
            <v>#DIV/0!</v>
          </cell>
          <cell r="DW50">
            <v>560.66487271188316</v>
          </cell>
          <cell r="DX50" t="e">
            <v>#DIV/0!</v>
          </cell>
          <cell r="DZ50">
            <v>600.16160620093603</v>
          </cell>
        </row>
        <row r="51">
          <cell r="E51">
            <v>0</v>
          </cell>
          <cell r="H51">
            <v>0</v>
          </cell>
          <cell r="K51">
            <v>0</v>
          </cell>
          <cell r="N51">
            <v>0</v>
          </cell>
          <cell r="Q51">
            <v>-3.637978807091713E-12</v>
          </cell>
          <cell r="T51">
            <v>-3.637978807091713E-12</v>
          </cell>
          <cell r="AA51">
            <v>0</v>
          </cell>
          <cell r="AD51">
            <v>0</v>
          </cell>
          <cell r="AG51">
            <v>0</v>
          </cell>
          <cell r="AJ51">
            <v>0</v>
          </cell>
          <cell r="AM51">
            <v>0</v>
          </cell>
          <cell r="AP51">
            <v>0</v>
          </cell>
          <cell r="AW51">
            <v>0</v>
          </cell>
          <cell r="AZ51">
            <v>0</v>
          </cell>
          <cell r="BC51">
            <v>0</v>
          </cell>
          <cell r="BF51">
            <v>0</v>
          </cell>
          <cell r="BI51">
            <v>0</v>
          </cell>
          <cell r="BL51">
            <v>0</v>
          </cell>
          <cell r="BS51">
            <v>0</v>
          </cell>
          <cell r="BV51">
            <v>0</v>
          </cell>
          <cell r="BY51">
            <v>0</v>
          </cell>
          <cell r="CB51">
            <v>0</v>
          </cell>
          <cell r="CE51">
            <v>0</v>
          </cell>
          <cell r="CH51">
            <v>0</v>
          </cell>
          <cell r="CO51">
            <v>0</v>
          </cell>
          <cell r="CR51">
            <v>0</v>
          </cell>
          <cell r="CU51">
            <v>0</v>
          </cell>
          <cell r="CX51">
            <v>0</v>
          </cell>
          <cell r="DA51">
            <v>0</v>
          </cell>
          <cell r="DD51">
            <v>0</v>
          </cell>
          <cell r="DK51">
            <v>0</v>
          </cell>
          <cell r="DN51">
            <v>0</v>
          </cell>
          <cell r="DQ51">
            <v>0</v>
          </cell>
          <cell r="DT51">
            <v>0</v>
          </cell>
          <cell r="DW51">
            <v>0</v>
          </cell>
          <cell r="DZ51">
            <v>0</v>
          </cell>
        </row>
        <row r="53">
          <cell r="C53" t="str">
            <v>Non Current Income / expenses Total</v>
          </cell>
          <cell r="E53">
            <v>-293.523776</v>
          </cell>
          <cell r="H53">
            <v>-406.41851100000002</v>
          </cell>
          <cell r="K53">
            <v>-34.104325000000003</v>
          </cell>
          <cell r="N53">
            <v>0</v>
          </cell>
          <cell r="Q53">
            <v>0</v>
          </cell>
          <cell r="T53">
            <v>0</v>
          </cell>
          <cell r="Y53" t="str">
            <v>Non Current Income / expenses Total</v>
          </cell>
          <cell r="AA53">
            <v>5.1377499999999996</v>
          </cell>
          <cell r="AD53">
            <v>-86.632936000000001</v>
          </cell>
          <cell r="AG53">
            <v>-11.633536000000001</v>
          </cell>
          <cell r="AJ53">
            <v>0</v>
          </cell>
          <cell r="AM53">
            <v>0</v>
          </cell>
          <cell r="AP53">
            <v>0</v>
          </cell>
          <cell r="AU53" t="str">
            <v>Non Current Income / expenses Total</v>
          </cell>
          <cell r="AW53" t="str">
            <v>-</v>
          </cell>
          <cell r="AZ53" t="str">
            <v>-</v>
          </cell>
          <cell r="BC53" t="str">
            <v>-</v>
          </cell>
          <cell r="BF53" t="str">
            <v>-</v>
          </cell>
          <cell r="BI53" t="str">
            <v>-</v>
          </cell>
          <cell r="BL53" t="str">
            <v>-</v>
          </cell>
          <cell r="BQ53" t="str">
            <v>Non Current Income / expenses Total</v>
          </cell>
          <cell r="BS53">
            <v>-179.959844</v>
          </cell>
          <cell r="BV53">
            <v>-246.50499600000001</v>
          </cell>
          <cell r="BY53">
            <v>-0.16079099999999999</v>
          </cell>
          <cell r="CB53" t="str">
            <v>-</v>
          </cell>
          <cell r="CE53" t="str">
            <v>-</v>
          </cell>
          <cell r="CH53" t="str">
            <v>-</v>
          </cell>
          <cell r="CM53" t="str">
            <v>Non Current Income / expenses Total</v>
          </cell>
          <cell r="CO53">
            <v>-113.56474799999999</v>
          </cell>
          <cell r="CR53">
            <v>-76.683948999999998</v>
          </cell>
          <cell r="CU53">
            <v>0.42857099999999998</v>
          </cell>
          <cell r="CX53">
            <v>0</v>
          </cell>
          <cell r="DA53">
            <v>0</v>
          </cell>
          <cell r="DD53">
            <v>0</v>
          </cell>
          <cell r="DI53" t="str">
            <v>Non Current Income / expenses Total</v>
          </cell>
          <cell r="DK53">
            <v>-5.1369340000000001</v>
          </cell>
          <cell r="DN53">
            <v>3.4033700000000002</v>
          </cell>
          <cell r="DQ53">
            <v>-22.738568999999998</v>
          </cell>
          <cell r="DT53">
            <v>0</v>
          </cell>
          <cell r="DW53">
            <v>0</v>
          </cell>
          <cell r="DZ53">
            <v>0</v>
          </cell>
        </row>
        <row r="54">
          <cell r="C54" t="str">
            <v>Loss/Gain on disposal of fixed asset</v>
          </cell>
          <cell r="E54" t="str">
            <v>0</v>
          </cell>
          <cell r="H54">
            <v>-3.0646800000000001</v>
          </cell>
          <cell r="K54">
            <v>-30.607697999999999</v>
          </cell>
          <cell r="N54">
            <v>0</v>
          </cell>
          <cell r="Q54">
            <v>0</v>
          </cell>
          <cell r="T54">
            <v>0</v>
          </cell>
          <cell r="Y54" t="str">
            <v>Loss/Gain on disposal of fixed asset</v>
          </cell>
          <cell r="AA54" t="str">
            <v>-</v>
          </cell>
          <cell r="AD54">
            <v>-1.6674250000000002</v>
          </cell>
          <cell r="AG54">
            <v>-8.2977000000000007</v>
          </cell>
          <cell r="AJ54">
            <v>0</v>
          </cell>
          <cell r="AM54">
            <v>0</v>
          </cell>
          <cell r="AP54">
            <v>0</v>
          </cell>
          <cell r="AU54" t="str">
            <v>Loss/Gain on disposal of fixed asset</v>
          </cell>
          <cell r="AW54" t="str">
            <v>-</v>
          </cell>
          <cell r="AZ54" t="str">
            <v>-</v>
          </cell>
          <cell r="BC54" t="str">
            <v>-</v>
          </cell>
          <cell r="BF54" t="str">
            <v>-</v>
          </cell>
          <cell r="BI54" t="str">
            <v>-</v>
          </cell>
          <cell r="BL54" t="str">
            <v>-</v>
          </cell>
          <cell r="BQ54" t="str">
            <v>Loss/Gain on disposal of fixed asset</v>
          </cell>
          <cell r="BS54" t="str">
            <v>-</v>
          </cell>
          <cell r="BV54" t="str">
            <v>-</v>
          </cell>
          <cell r="BY54" t="str">
            <v>-</v>
          </cell>
          <cell r="CB54" t="str">
            <v>-</v>
          </cell>
          <cell r="CE54" t="str">
            <v>-</v>
          </cell>
          <cell r="CH54" t="str">
            <v>-</v>
          </cell>
          <cell r="CM54" t="str">
            <v>Loss/Gain on disposal of fixed asset</v>
          </cell>
          <cell r="CO54" t="str">
            <v>-</v>
          </cell>
          <cell r="CR54">
            <v>-0.69161600000000001</v>
          </cell>
          <cell r="CU54">
            <v>0.42857099999999998</v>
          </cell>
          <cell r="CX54">
            <v>0</v>
          </cell>
          <cell r="DA54">
            <v>0</v>
          </cell>
          <cell r="DD54">
            <v>0</v>
          </cell>
          <cell r="DI54" t="str">
            <v>Loss/Gain on disposal of fixed asset</v>
          </cell>
          <cell r="DK54" t="str">
            <v>-</v>
          </cell>
          <cell r="DN54">
            <v>-0.70563900000000002</v>
          </cell>
          <cell r="DQ54">
            <v>-22.738568999999998</v>
          </cell>
          <cell r="DT54">
            <v>0</v>
          </cell>
          <cell r="DW54">
            <v>0</v>
          </cell>
          <cell r="DZ54">
            <v>0</v>
          </cell>
        </row>
        <row r="55">
          <cell r="C55" t="str">
            <v>Restructuring Costs</v>
          </cell>
          <cell r="E55" t="str">
            <v>0</v>
          </cell>
          <cell r="H55" t="str">
            <v>0</v>
          </cell>
          <cell r="K55" t="str">
            <v>0</v>
          </cell>
          <cell r="N55" t="str">
            <v>0</v>
          </cell>
          <cell r="Q55" t="str">
            <v>0</v>
          </cell>
          <cell r="T55" t="str">
            <v>0</v>
          </cell>
          <cell r="Y55" t="str">
            <v>Restructuring Costs</v>
          </cell>
          <cell r="AA55" t="str">
            <v>-</v>
          </cell>
          <cell r="AD55" t="str">
            <v>-</v>
          </cell>
          <cell r="AG55" t="str">
            <v>-</v>
          </cell>
          <cell r="AJ55" t="str">
            <v>-</v>
          </cell>
          <cell r="AM55" t="str">
            <v>-</v>
          </cell>
          <cell r="AP55" t="str">
            <v>-</v>
          </cell>
          <cell r="AU55" t="str">
            <v>Restructuring Costs</v>
          </cell>
          <cell r="AW55" t="str">
            <v>-</v>
          </cell>
          <cell r="AZ55" t="str">
            <v>-</v>
          </cell>
          <cell r="BC55" t="str">
            <v>-</v>
          </cell>
          <cell r="BF55" t="str">
            <v>-</v>
          </cell>
          <cell r="BI55" t="str">
            <v>-</v>
          </cell>
          <cell r="BL55" t="str">
            <v>-</v>
          </cell>
          <cell r="BQ55" t="str">
            <v>Restructuring Costs</v>
          </cell>
          <cell r="BS55" t="str">
            <v>-</v>
          </cell>
          <cell r="BV55" t="str">
            <v>-</v>
          </cell>
          <cell r="BY55" t="str">
            <v>-</v>
          </cell>
          <cell r="CB55" t="str">
            <v>-</v>
          </cell>
          <cell r="CE55" t="str">
            <v>-</v>
          </cell>
          <cell r="CH55" t="str">
            <v>-</v>
          </cell>
          <cell r="CM55" t="str">
            <v>Restructuring Costs</v>
          </cell>
          <cell r="CO55" t="str">
            <v>-</v>
          </cell>
          <cell r="CR55" t="str">
            <v>-</v>
          </cell>
          <cell r="CU55" t="str">
            <v>-</v>
          </cell>
          <cell r="CX55" t="str">
            <v>-</v>
          </cell>
          <cell r="DA55" t="str">
            <v>-</v>
          </cell>
          <cell r="DD55" t="str">
            <v>-</v>
          </cell>
          <cell r="DI55" t="str">
            <v>Restructuring Costs</v>
          </cell>
          <cell r="DK55" t="str">
            <v>-</v>
          </cell>
          <cell r="DN55" t="str">
            <v>-</v>
          </cell>
          <cell r="DQ55" t="str">
            <v>-</v>
          </cell>
          <cell r="DT55" t="str">
            <v>-</v>
          </cell>
          <cell r="DW55" t="str">
            <v>-</v>
          </cell>
          <cell r="DZ55" t="str">
            <v>-</v>
          </cell>
        </row>
        <row r="56">
          <cell r="C56" t="str">
            <v>Change of Banner and Integration Costs</v>
          </cell>
          <cell r="E56" t="str">
            <v>0</v>
          </cell>
          <cell r="H56" t="str">
            <v>0</v>
          </cell>
          <cell r="K56" t="str">
            <v>0</v>
          </cell>
          <cell r="N56" t="str">
            <v>0</v>
          </cell>
          <cell r="Q56" t="str">
            <v>0</v>
          </cell>
          <cell r="T56" t="str">
            <v>0</v>
          </cell>
          <cell r="Y56" t="str">
            <v>Change of Banner and Integration Costs</v>
          </cell>
          <cell r="AA56" t="str">
            <v>-</v>
          </cell>
          <cell r="AD56" t="str">
            <v>-</v>
          </cell>
          <cell r="AG56" t="str">
            <v>-</v>
          </cell>
          <cell r="AJ56" t="str">
            <v>-</v>
          </cell>
          <cell r="AM56" t="str">
            <v>-</v>
          </cell>
          <cell r="AP56" t="str">
            <v>-</v>
          </cell>
          <cell r="AU56" t="str">
            <v>Change of Banner and Integration Costs</v>
          </cell>
          <cell r="AW56" t="str">
            <v>-</v>
          </cell>
          <cell r="AZ56" t="str">
            <v>-</v>
          </cell>
          <cell r="BC56" t="str">
            <v>-</v>
          </cell>
          <cell r="BF56" t="str">
            <v>-</v>
          </cell>
          <cell r="BI56" t="str">
            <v>-</v>
          </cell>
          <cell r="BL56" t="str">
            <v>-</v>
          </cell>
          <cell r="BQ56" t="str">
            <v>Change of Banner and Integration Costs</v>
          </cell>
          <cell r="BS56" t="str">
            <v>-</v>
          </cell>
          <cell r="BV56" t="str">
            <v>-</v>
          </cell>
          <cell r="BY56" t="str">
            <v>-</v>
          </cell>
          <cell r="CB56" t="str">
            <v>-</v>
          </cell>
          <cell r="CE56" t="str">
            <v>-</v>
          </cell>
          <cell r="CH56" t="str">
            <v>-</v>
          </cell>
          <cell r="CM56" t="str">
            <v>Change of Banner and Integration Costs</v>
          </cell>
          <cell r="CO56" t="str">
            <v>-</v>
          </cell>
          <cell r="CR56" t="str">
            <v>-</v>
          </cell>
          <cell r="CU56" t="str">
            <v>-</v>
          </cell>
          <cell r="CX56" t="str">
            <v>-</v>
          </cell>
          <cell r="DA56" t="str">
            <v>-</v>
          </cell>
          <cell r="DD56" t="str">
            <v>-</v>
          </cell>
          <cell r="DI56" t="str">
            <v>Change of Banner and Integration Costs</v>
          </cell>
          <cell r="DK56" t="str">
            <v>-</v>
          </cell>
          <cell r="DN56" t="str">
            <v>-</v>
          </cell>
          <cell r="DQ56" t="str">
            <v>-</v>
          </cell>
          <cell r="DT56" t="str">
            <v>-</v>
          </cell>
          <cell r="DW56" t="str">
            <v>-</v>
          </cell>
          <cell r="DZ56" t="str">
            <v>-</v>
          </cell>
        </row>
        <row r="57">
          <cell r="C57" t="str">
            <v>Stock-options and Performance Shares Costs</v>
          </cell>
          <cell r="E57" t="str">
            <v>0</v>
          </cell>
          <cell r="H57" t="str">
            <v>0</v>
          </cell>
          <cell r="K57" t="str">
            <v>0</v>
          </cell>
          <cell r="N57" t="str">
            <v>0</v>
          </cell>
          <cell r="Q57" t="str">
            <v>0</v>
          </cell>
          <cell r="T57" t="str">
            <v>0</v>
          </cell>
          <cell r="Y57" t="str">
            <v>Stock-options and Performance Shares Costs</v>
          </cell>
          <cell r="AA57" t="str">
            <v>-</v>
          </cell>
          <cell r="AD57" t="str">
            <v>-</v>
          </cell>
          <cell r="AG57" t="str">
            <v>-</v>
          </cell>
          <cell r="AJ57" t="str">
            <v>-</v>
          </cell>
          <cell r="AM57" t="str">
            <v>-</v>
          </cell>
          <cell r="AP57" t="str">
            <v>-</v>
          </cell>
          <cell r="AU57" t="str">
            <v>Stock-options and Performance Shares Costs</v>
          </cell>
          <cell r="AW57" t="str">
            <v>-</v>
          </cell>
          <cell r="AZ57" t="str">
            <v>-</v>
          </cell>
          <cell r="BC57" t="str">
            <v>-</v>
          </cell>
          <cell r="BF57" t="str">
            <v>-</v>
          </cell>
          <cell r="BI57" t="str">
            <v>-</v>
          </cell>
          <cell r="BL57" t="str">
            <v>-</v>
          </cell>
          <cell r="BQ57" t="str">
            <v>Stock-options and Performance Shares Costs</v>
          </cell>
          <cell r="BS57" t="str">
            <v>-</v>
          </cell>
          <cell r="BV57" t="str">
            <v>-</v>
          </cell>
          <cell r="BY57" t="str">
            <v>-</v>
          </cell>
          <cell r="CB57" t="str">
            <v>-</v>
          </cell>
          <cell r="CE57" t="str">
            <v>-</v>
          </cell>
          <cell r="CH57" t="str">
            <v>-</v>
          </cell>
          <cell r="CM57" t="str">
            <v>Stock-options and Performance Shares Costs</v>
          </cell>
          <cell r="CO57" t="str">
            <v>-</v>
          </cell>
          <cell r="CR57" t="str">
            <v>-</v>
          </cell>
          <cell r="CU57" t="str">
            <v>-</v>
          </cell>
          <cell r="CX57" t="str">
            <v>-</v>
          </cell>
          <cell r="DA57" t="str">
            <v>-</v>
          </cell>
          <cell r="DD57" t="str">
            <v>-</v>
          </cell>
          <cell r="DI57" t="str">
            <v>Stock-options and Performance Shares Costs</v>
          </cell>
          <cell r="DK57" t="str">
            <v>-</v>
          </cell>
          <cell r="DN57" t="str">
            <v>-</v>
          </cell>
          <cell r="DQ57" t="str">
            <v>-</v>
          </cell>
          <cell r="DT57" t="str">
            <v>-</v>
          </cell>
          <cell r="DW57" t="str">
            <v>-</v>
          </cell>
          <cell r="DZ57" t="str">
            <v>-</v>
          </cell>
        </row>
        <row r="58">
          <cell r="C58" t="str">
            <v>Other non current Income / expenses</v>
          </cell>
          <cell r="E58">
            <v>-293.523776</v>
          </cell>
          <cell r="H58">
            <v>-403.35383100000001</v>
          </cell>
          <cell r="K58">
            <v>-3.4966270000000002</v>
          </cell>
          <cell r="N58">
            <v>0</v>
          </cell>
          <cell r="Q58">
            <v>0</v>
          </cell>
          <cell r="T58">
            <v>0</v>
          </cell>
          <cell r="Y58" t="str">
            <v>Other non current Income / expenses</v>
          </cell>
          <cell r="AA58">
            <v>5.1377499999999996</v>
          </cell>
          <cell r="AD58">
            <v>-84.965511000000006</v>
          </cell>
          <cell r="AG58">
            <v>-3.335836</v>
          </cell>
          <cell r="AJ58">
            <v>0</v>
          </cell>
          <cell r="AM58">
            <v>0</v>
          </cell>
          <cell r="AP58">
            <v>0</v>
          </cell>
          <cell r="AU58" t="str">
            <v>Other non current Income / expenses</v>
          </cell>
          <cell r="AW58" t="str">
            <v>-</v>
          </cell>
          <cell r="AZ58" t="str">
            <v>-</v>
          </cell>
          <cell r="BC58" t="str">
            <v>-</v>
          </cell>
          <cell r="BF58" t="str">
            <v>-</v>
          </cell>
          <cell r="BI58" t="str">
            <v>-</v>
          </cell>
          <cell r="BL58" t="str">
            <v>-</v>
          </cell>
          <cell r="BQ58" t="str">
            <v>Other non current Income / expenses</v>
          </cell>
          <cell r="BS58">
            <v>-179.959844</v>
          </cell>
          <cell r="BV58">
            <v>-246.50499600000001</v>
          </cell>
          <cell r="BY58">
            <v>-0.16079099999999999</v>
          </cell>
          <cell r="CB58" t="str">
            <v>-</v>
          </cell>
          <cell r="CE58" t="str">
            <v>-</v>
          </cell>
          <cell r="CH58" t="str">
            <v>-</v>
          </cell>
          <cell r="CM58" t="str">
            <v>Other non current Income / expenses</v>
          </cell>
          <cell r="CO58">
            <v>-113.56474799999999</v>
          </cell>
          <cell r="CR58">
            <v>-75.992333000000002</v>
          </cell>
          <cell r="CU58" t="str">
            <v>-</v>
          </cell>
          <cell r="CX58">
            <v>0</v>
          </cell>
          <cell r="DA58">
            <v>0</v>
          </cell>
          <cell r="DD58">
            <v>0</v>
          </cell>
          <cell r="DI58" t="str">
            <v>Other non current Income / expenses</v>
          </cell>
          <cell r="DK58">
            <v>-5.1369340000000001</v>
          </cell>
          <cell r="DN58">
            <v>4.1090090000000004</v>
          </cell>
          <cell r="DQ58" t="str">
            <v>-</v>
          </cell>
          <cell r="DT58">
            <v>0</v>
          </cell>
          <cell r="DW58">
            <v>0</v>
          </cell>
          <cell r="DZ58">
            <v>0</v>
          </cell>
        </row>
        <row r="59">
          <cell r="C59" t="str">
            <v>Impairment</v>
          </cell>
          <cell r="E59" t="str">
            <v>0</v>
          </cell>
          <cell r="H59" t="str">
            <v>0</v>
          </cell>
          <cell r="K59" t="str">
            <v>0</v>
          </cell>
          <cell r="N59" t="str">
            <v>0</v>
          </cell>
          <cell r="Q59" t="str">
            <v>0</v>
          </cell>
          <cell r="T59" t="str">
            <v>0</v>
          </cell>
          <cell r="Y59" t="str">
            <v>Impairment</v>
          </cell>
          <cell r="AA59" t="str">
            <v>-</v>
          </cell>
          <cell r="AD59" t="str">
            <v>-</v>
          </cell>
          <cell r="AG59" t="str">
            <v>-</v>
          </cell>
          <cell r="AJ59" t="str">
            <v>-</v>
          </cell>
          <cell r="AM59" t="str">
            <v>-</v>
          </cell>
          <cell r="AP59" t="str">
            <v>-</v>
          </cell>
          <cell r="AU59" t="str">
            <v>Impairment</v>
          </cell>
          <cell r="AW59" t="str">
            <v>-</v>
          </cell>
          <cell r="AZ59" t="str">
            <v>-</v>
          </cell>
          <cell r="BC59" t="str">
            <v>-</v>
          </cell>
          <cell r="BF59" t="str">
            <v>-</v>
          </cell>
          <cell r="BI59" t="str">
            <v>-</v>
          </cell>
          <cell r="BL59" t="str">
            <v>-</v>
          </cell>
          <cell r="BQ59" t="str">
            <v>Impairment</v>
          </cell>
          <cell r="BS59" t="str">
            <v>-</v>
          </cell>
          <cell r="BV59" t="str">
            <v>-</v>
          </cell>
          <cell r="BY59" t="str">
            <v>-</v>
          </cell>
          <cell r="CB59" t="str">
            <v>-</v>
          </cell>
          <cell r="CE59" t="str">
            <v>-</v>
          </cell>
          <cell r="CH59" t="str">
            <v>-</v>
          </cell>
          <cell r="CM59" t="str">
            <v>Impairment</v>
          </cell>
          <cell r="CO59" t="str">
            <v>-</v>
          </cell>
          <cell r="CR59" t="str">
            <v>-</v>
          </cell>
          <cell r="CU59" t="str">
            <v>-</v>
          </cell>
          <cell r="CX59" t="str">
            <v>-</v>
          </cell>
          <cell r="DA59" t="str">
            <v>-</v>
          </cell>
          <cell r="DD59" t="str">
            <v>-</v>
          </cell>
          <cell r="DI59" t="str">
            <v>Impairment</v>
          </cell>
          <cell r="DK59" t="str">
            <v>-</v>
          </cell>
          <cell r="DN59" t="str">
            <v>-</v>
          </cell>
          <cell r="DQ59" t="str">
            <v>-</v>
          </cell>
          <cell r="DT59" t="str">
            <v>-</v>
          </cell>
          <cell r="DW59" t="str">
            <v>-</v>
          </cell>
          <cell r="DZ59" t="str">
            <v>-</v>
          </cell>
        </row>
        <row r="60">
          <cell r="C60" t="str">
            <v>EBIT Before Goodwill</v>
          </cell>
          <cell r="E60">
            <v>1911.7513860999993</v>
          </cell>
          <cell r="F60">
            <v>3.6908263491159901E-2</v>
          </cell>
          <cell r="H60">
            <v>1321.2871797399989</v>
          </cell>
          <cell r="I60">
            <v>2.4392429036213567E-2</v>
          </cell>
          <cell r="K60">
            <v>2421.8310627851638</v>
          </cell>
          <cell r="L60">
            <v>3.978368708770081E-2</v>
          </cell>
          <cell r="N60">
            <v>2772.8035638113161</v>
          </cell>
          <cell r="O60">
            <v>4.3666566530645337E-2</v>
          </cell>
          <cell r="Q60">
            <v>3329.3489544378353</v>
          </cell>
          <cell r="R60">
            <v>4.611120788497846E-2</v>
          </cell>
          <cell r="T60">
            <v>3942.7744819004765</v>
          </cell>
          <cell r="Y60" t="str">
            <v>EBIT Before Goodwill</v>
          </cell>
          <cell r="AA60">
            <v>2001.8931700999985</v>
          </cell>
          <cell r="AB60">
            <v>3.8648540359598464E-2</v>
          </cell>
          <cell r="AD60">
            <v>1297.1630084399983</v>
          </cell>
          <cell r="AE60">
            <v>2.3947070036659419E-2</v>
          </cell>
          <cell r="AG60">
            <v>2051.842077580251</v>
          </cell>
          <cell r="AH60">
            <v>3.370583705122452E-2</v>
          </cell>
          <cell r="AJ60">
            <v>2558.9980649838931</v>
          </cell>
          <cell r="AK60">
            <v>4.0299522373239319E-2</v>
          </cell>
          <cell r="AM60">
            <v>3025.1813653197278</v>
          </cell>
          <cell r="AN60">
            <v>4.1898511911790511E-2</v>
          </cell>
          <cell r="AP60">
            <v>3557.3528130168033</v>
          </cell>
          <cell r="AU60" t="str">
            <v>EBIT Before Goodwill</v>
          </cell>
          <cell r="AW60" t="str">
            <v>-</v>
          </cell>
          <cell r="AX60" t="e">
            <v>#DIV/0!</v>
          </cell>
          <cell r="AZ60" t="str">
            <v>-</v>
          </cell>
          <cell r="BA60" t="e">
            <v>#DIV/0!</v>
          </cell>
          <cell r="BC60" t="str">
            <v>-</v>
          </cell>
          <cell r="BD60" t="e">
            <v>#DIV/0!</v>
          </cell>
          <cell r="BF60" t="str">
            <v>-</v>
          </cell>
          <cell r="BG60" t="e">
            <v>#DIV/0!</v>
          </cell>
          <cell r="BI60" t="str">
            <v>-</v>
          </cell>
          <cell r="BJ60" t="e">
            <v>#DIV/0!</v>
          </cell>
          <cell r="BL60" t="str">
            <v>-</v>
          </cell>
          <cell r="BQ60" t="str">
            <v>EBIT Before Goodwill</v>
          </cell>
          <cell r="BS60">
            <v>-179.959844</v>
          </cell>
          <cell r="BT60" t="e">
            <v>#DIV/0!</v>
          </cell>
          <cell r="BV60">
            <v>-246.50499600000001</v>
          </cell>
          <cell r="BW60" t="e">
            <v>#DIV/0!</v>
          </cell>
          <cell r="BY60">
            <v>-0.16079099999999999</v>
          </cell>
          <cell r="BZ60" t="e">
            <v>#DIV/0!</v>
          </cell>
          <cell r="CB60" t="str">
            <v>-</v>
          </cell>
          <cell r="CC60" t="e">
            <v>#DIV/0!</v>
          </cell>
          <cell r="CE60" t="str">
            <v>-</v>
          </cell>
          <cell r="CF60" t="e">
            <v>#DIV/0!</v>
          </cell>
          <cell r="CH60" t="str">
            <v>-</v>
          </cell>
          <cell r="CM60" t="str">
            <v>EBIT Before Goodwill</v>
          </cell>
          <cell r="CO60">
            <v>-142.12154300000003</v>
          </cell>
          <cell r="CP60" t="e">
            <v>#DIV/0!</v>
          </cell>
          <cell r="CR60">
            <v>-40.0764</v>
          </cell>
          <cell r="CS60" t="e">
            <v>#DIV/0!</v>
          </cell>
          <cell r="CU60">
            <v>-92.347664837364974</v>
          </cell>
          <cell r="CV60" t="e">
            <v>#DIV/0!</v>
          </cell>
          <cell r="CX60">
            <v>-275.21982880682231</v>
          </cell>
          <cell r="CY60" t="e">
            <v>#DIV/0!</v>
          </cell>
          <cell r="DA60">
            <v>-256.49728359377679</v>
          </cell>
          <cell r="DB60" t="e">
            <v>#DIV/0!</v>
          </cell>
          <cell r="DD60">
            <v>-214.73993731726392</v>
          </cell>
          <cell r="DI60" t="str">
            <v>EBIT Before Goodwill</v>
          </cell>
          <cell r="DK60">
            <v>231.93960300000032</v>
          </cell>
          <cell r="DL60" t="e">
            <v>#DIV/0!</v>
          </cell>
          <cell r="DN60">
            <v>310.70556729999976</v>
          </cell>
          <cell r="DO60" t="e">
            <v>#DIV/0!</v>
          </cell>
          <cell r="DQ60">
            <v>462.49744104227693</v>
          </cell>
          <cell r="DR60" t="e">
            <v>#DIV/0!</v>
          </cell>
          <cell r="DT60">
            <v>489.02532763424648</v>
          </cell>
          <cell r="DU60" t="e">
            <v>#DIV/0!</v>
          </cell>
          <cell r="DW60">
            <v>560.66487271188316</v>
          </cell>
          <cell r="DX60" t="e">
            <v>#DIV/0!</v>
          </cell>
          <cell r="DZ60">
            <v>600.16160620093603</v>
          </cell>
        </row>
        <row r="61">
          <cell r="E61">
            <v>0</v>
          </cell>
          <cell r="H61">
            <v>0</v>
          </cell>
          <cell r="K61">
            <v>0</v>
          </cell>
          <cell r="N61">
            <v>0</v>
          </cell>
          <cell r="Q61">
            <v>0</v>
          </cell>
          <cell r="T61">
            <v>0</v>
          </cell>
          <cell r="AA61">
            <v>0</v>
          </cell>
          <cell r="AD61">
            <v>0</v>
          </cell>
          <cell r="AG61">
            <v>0</v>
          </cell>
          <cell r="AJ61">
            <v>0</v>
          </cell>
          <cell r="AM61">
            <v>0</v>
          </cell>
          <cell r="AP61">
            <v>0</v>
          </cell>
          <cell r="AW61">
            <v>0</v>
          </cell>
          <cell r="AZ61">
            <v>0</v>
          </cell>
          <cell r="BC61">
            <v>0</v>
          </cell>
          <cell r="BF61">
            <v>0</v>
          </cell>
          <cell r="BI61">
            <v>0</v>
          </cell>
          <cell r="BL61">
            <v>0</v>
          </cell>
          <cell r="BS61">
            <v>0</v>
          </cell>
          <cell r="BV61">
            <v>0</v>
          </cell>
          <cell r="BY61">
            <v>0</v>
          </cell>
          <cell r="CB61">
            <v>0</v>
          </cell>
          <cell r="CE61">
            <v>0</v>
          </cell>
          <cell r="CH61">
            <v>0</v>
          </cell>
          <cell r="CO61">
            <v>0</v>
          </cell>
          <cell r="CR61">
            <v>0</v>
          </cell>
          <cell r="CU61">
            <v>0</v>
          </cell>
          <cell r="CX61">
            <v>0</v>
          </cell>
          <cell r="DA61">
            <v>0</v>
          </cell>
          <cell r="DD61">
            <v>0</v>
          </cell>
          <cell r="DK61">
            <v>0</v>
          </cell>
          <cell r="DN61">
            <v>0</v>
          </cell>
          <cell r="DQ61">
            <v>0</v>
          </cell>
          <cell r="DT61">
            <v>0</v>
          </cell>
          <cell r="DW61">
            <v>0</v>
          </cell>
          <cell r="DZ61">
            <v>0</v>
          </cell>
        </row>
        <row r="62">
          <cell r="C62" t="str">
            <v>Financial Income</v>
          </cell>
          <cell r="E62">
            <v>-59.805243000000011</v>
          </cell>
          <cell r="H62">
            <v>18.759300999999994</v>
          </cell>
          <cell r="K62">
            <v>-422.21276058243444</v>
          </cell>
          <cell r="N62">
            <v>-406.1900238768867</v>
          </cell>
          <cell r="Q62">
            <v>-449.96842089924598</v>
          </cell>
          <cell r="T62">
            <v>-361.98902315268811</v>
          </cell>
          <cell r="Y62" t="str">
            <v>Financial Income</v>
          </cell>
          <cell r="AA62" t="str">
            <v>-</v>
          </cell>
          <cell r="AD62">
            <v>-77.473686000000001</v>
          </cell>
          <cell r="AG62" t="str">
            <v>-</v>
          </cell>
          <cell r="AJ62" t="str">
            <v>-</v>
          </cell>
          <cell r="AM62" t="str">
            <v>-</v>
          </cell>
          <cell r="AP62" t="str">
            <v>-</v>
          </cell>
          <cell r="AU62" t="str">
            <v>Financial Income</v>
          </cell>
          <cell r="AW62" t="str">
            <v>-</v>
          </cell>
          <cell r="AZ62" t="str">
            <v>-</v>
          </cell>
          <cell r="BC62" t="str">
            <v>-</v>
          </cell>
          <cell r="BF62" t="str">
            <v>-</v>
          </cell>
          <cell r="BI62" t="str">
            <v>-</v>
          </cell>
          <cell r="BL62" t="str">
            <v>-</v>
          </cell>
          <cell r="BQ62" t="str">
            <v>Financial Income</v>
          </cell>
          <cell r="BS62" t="str">
            <v>-</v>
          </cell>
          <cell r="BV62" t="str">
            <v>-</v>
          </cell>
          <cell r="BY62" t="str">
            <v>-</v>
          </cell>
          <cell r="CB62" t="str">
            <v>-</v>
          </cell>
          <cell r="CE62" t="str">
            <v>-</v>
          </cell>
          <cell r="CH62" t="str">
            <v>-</v>
          </cell>
          <cell r="CM62" t="str">
            <v>Financial Income</v>
          </cell>
          <cell r="CO62">
            <v>-59.805243000000011</v>
          </cell>
          <cell r="CR62">
            <v>96.23298699999998</v>
          </cell>
          <cell r="CU62">
            <v>-422.21276058243444</v>
          </cell>
          <cell r="CX62">
            <v>-406.1900238768867</v>
          </cell>
          <cell r="DA62">
            <v>-449.96842089924598</v>
          </cell>
          <cell r="DD62">
            <v>-361.98902315268811</v>
          </cell>
          <cell r="DI62" t="str">
            <v>Financial Income</v>
          </cell>
          <cell r="DK62" t="str">
            <v>-</v>
          </cell>
          <cell r="DN62" t="str">
            <v>-</v>
          </cell>
          <cell r="DQ62" t="str">
            <v>-</v>
          </cell>
          <cell r="DT62" t="str">
            <v>-</v>
          </cell>
          <cell r="DW62" t="str">
            <v>-</v>
          </cell>
          <cell r="DZ62" t="str">
            <v>-</v>
          </cell>
        </row>
        <row r="63">
          <cell r="C63" t="str">
            <v>Pretax Income</v>
          </cell>
          <cell r="E63">
            <v>1851.9461430999993</v>
          </cell>
          <cell r="H63">
            <v>1340.046480739999</v>
          </cell>
          <cell r="K63">
            <v>1999.6183022027294</v>
          </cell>
          <cell r="N63">
            <v>2366.6135399344294</v>
          </cell>
          <cell r="Q63">
            <v>2879.3805335385896</v>
          </cell>
          <cell r="T63">
            <v>3580.7854587477887</v>
          </cell>
          <cell r="Y63" t="str">
            <v>Pretax Income</v>
          </cell>
          <cell r="AA63">
            <v>2001.8931700999985</v>
          </cell>
          <cell r="AD63">
            <v>1219.6893224399983</v>
          </cell>
          <cell r="AG63">
            <v>2051.842077580251</v>
          </cell>
          <cell r="AJ63">
            <v>2558.9980649838931</v>
          </cell>
          <cell r="AM63">
            <v>3025.1813653197278</v>
          </cell>
          <cell r="AP63">
            <v>3557.3528130168033</v>
          </cell>
          <cell r="AU63" t="str">
            <v>Pretax Income</v>
          </cell>
          <cell r="AW63" t="str">
            <v>-</v>
          </cell>
          <cell r="AZ63" t="str">
            <v>-</v>
          </cell>
          <cell r="BC63" t="str">
            <v>-</v>
          </cell>
          <cell r="BF63" t="str">
            <v>-</v>
          </cell>
          <cell r="BI63" t="str">
            <v>-</v>
          </cell>
          <cell r="BL63" t="str">
            <v>-</v>
          </cell>
          <cell r="BQ63" t="str">
            <v>Pretax Income</v>
          </cell>
          <cell r="BS63">
            <v>-179.959844</v>
          </cell>
          <cell r="BV63">
            <v>-246.50499600000001</v>
          </cell>
          <cell r="BY63">
            <v>-0.16079099999999999</v>
          </cell>
          <cell r="CB63" t="str">
            <v>-</v>
          </cell>
          <cell r="CE63" t="str">
            <v>-</v>
          </cell>
          <cell r="CH63" t="str">
            <v>-</v>
          </cell>
          <cell r="CM63" t="str">
            <v>Pretax Income</v>
          </cell>
          <cell r="CO63">
            <v>-201.92678600000005</v>
          </cell>
          <cell r="CR63">
            <v>56.15658699999998</v>
          </cell>
          <cell r="CU63">
            <v>-514.56042541979946</v>
          </cell>
          <cell r="CX63">
            <v>-681.409852683709</v>
          </cell>
          <cell r="DA63">
            <v>-706.46570449302271</v>
          </cell>
          <cell r="DD63">
            <v>-576.72896046995197</v>
          </cell>
          <cell r="DI63" t="str">
            <v>Pretax Income</v>
          </cell>
          <cell r="DK63">
            <v>231.93960300000032</v>
          </cell>
          <cell r="DN63">
            <v>310.70556729999976</v>
          </cell>
          <cell r="DQ63">
            <v>462.49744104227693</v>
          </cell>
          <cell r="DT63">
            <v>489.02532763424648</v>
          </cell>
          <cell r="DW63">
            <v>560.66487271188316</v>
          </cell>
          <cell r="DZ63">
            <v>600.16160620093603</v>
          </cell>
        </row>
        <row r="64">
          <cell r="C64" t="str">
            <v>Income Tax</v>
          </cell>
          <cell r="E64">
            <v>-527.20114999999998</v>
          </cell>
          <cell r="H64">
            <v>-414.79973200000001</v>
          </cell>
          <cell r="K64">
            <v>-463.485343</v>
          </cell>
          <cell r="N64">
            <v>-501.67937965258318</v>
          </cell>
          <cell r="Q64">
            <v>-604.66991204310318</v>
          </cell>
          <cell r="T64">
            <v>-751.78770641345625</v>
          </cell>
          <cell r="Y64" t="str">
            <v>Income Tax</v>
          </cell>
          <cell r="AA64" t="str">
            <v>-</v>
          </cell>
          <cell r="AD64" t="str">
            <v>-</v>
          </cell>
          <cell r="AG64" t="str">
            <v>-</v>
          </cell>
          <cell r="AJ64" t="str">
            <v>-</v>
          </cell>
          <cell r="AM64" t="str">
            <v>-</v>
          </cell>
          <cell r="AP64" t="str">
            <v>-</v>
          </cell>
          <cell r="AU64" t="str">
            <v>Income Tax</v>
          </cell>
          <cell r="AW64" t="str">
            <v>-</v>
          </cell>
          <cell r="AZ64" t="str">
            <v>-</v>
          </cell>
          <cell r="BC64" t="str">
            <v>-</v>
          </cell>
          <cell r="BF64" t="str">
            <v>-</v>
          </cell>
          <cell r="BI64" t="str">
            <v>-</v>
          </cell>
          <cell r="BL64" t="str">
            <v>-</v>
          </cell>
          <cell r="BQ64" t="str">
            <v>Income Tax</v>
          </cell>
          <cell r="BS64" t="str">
            <v>-</v>
          </cell>
          <cell r="BV64" t="str">
            <v>-</v>
          </cell>
          <cell r="BY64" t="str">
            <v>-</v>
          </cell>
          <cell r="CB64" t="str">
            <v>-</v>
          </cell>
          <cell r="CE64" t="str">
            <v>-</v>
          </cell>
          <cell r="CH64" t="str">
            <v>-</v>
          </cell>
          <cell r="CM64" t="str">
            <v>Income Tax</v>
          </cell>
          <cell r="CO64">
            <v>-527.20114999999998</v>
          </cell>
          <cell r="CR64">
            <v>-414.79973200000001</v>
          </cell>
          <cell r="CU64">
            <v>-463.485343</v>
          </cell>
          <cell r="CX64">
            <v>-501.67937965258318</v>
          </cell>
          <cell r="DA64">
            <v>-604.66991204310318</v>
          </cell>
          <cell r="DD64">
            <v>-751.78770641345625</v>
          </cell>
          <cell r="DI64" t="str">
            <v>Income Tax</v>
          </cell>
          <cell r="DK64" t="str">
            <v>-</v>
          </cell>
          <cell r="DN64" t="str">
            <v>-</v>
          </cell>
          <cell r="DQ64" t="str">
            <v>-</v>
          </cell>
          <cell r="DT64" t="str">
            <v>-</v>
          </cell>
          <cell r="DW64" t="str">
            <v>-</v>
          </cell>
          <cell r="DZ64" t="str">
            <v>-</v>
          </cell>
        </row>
        <row r="65">
          <cell r="C65" t="str">
            <v>Net Income from companies consolidated by eq. meth.</v>
          </cell>
          <cell r="E65" t="str">
            <v>0</v>
          </cell>
          <cell r="H65" t="str">
            <v>0</v>
          </cell>
          <cell r="K65" t="str">
            <v>0</v>
          </cell>
          <cell r="N65">
            <v>-56.529000000000003</v>
          </cell>
          <cell r="Q65">
            <v>16.186</v>
          </cell>
          <cell r="T65">
            <v>104.554</v>
          </cell>
          <cell r="Y65" t="str">
            <v>Net Income from companies consolidated by eq. meth.</v>
          </cell>
          <cell r="AA65" t="str">
            <v>-</v>
          </cell>
          <cell r="AD65" t="str">
            <v>-</v>
          </cell>
          <cell r="AG65" t="str">
            <v>-</v>
          </cell>
          <cell r="AJ65" t="str">
            <v>-</v>
          </cell>
          <cell r="AM65" t="str">
            <v>-</v>
          </cell>
          <cell r="AP65" t="str">
            <v>-</v>
          </cell>
          <cell r="AU65" t="str">
            <v>Net Income from companies consolidated by eq. meth.</v>
          </cell>
          <cell r="AW65" t="str">
            <v>-</v>
          </cell>
          <cell r="AZ65" t="str">
            <v>-</v>
          </cell>
          <cell r="BC65" t="str">
            <v>-</v>
          </cell>
          <cell r="BF65" t="str">
            <v>-</v>
          </cell>
          <cell r="BI65" t="str">
            <v>-</v>
          </cell>
          <cell r="BL65" t="str">
            <v>-</v>
          </cell>
          <cell r="BQ65" t="str">
            <v>Net Income from companies consolidated by eq. meth.</v>
          </cell>
          <cell r="BS65" t="str">
            <v>-</v>
          </cell>
          <cell r="BV65" t="str">
            <v>-</v>
          </cell>
          <cell r="BY65" t="str">
            <v>-</v>
          </cell>
          <cell r="CB65" t="str">
            <v>-</v>
          </cell>
          <cell r="CE65" t="str">
            <v>-</v>
          </cell>
          <cell r="CH65" t="str">
            <v>-</v>
          </cell>
          <cell r="CM65" t="str">
            <v>Net Income from companies consolidated by eq. meth.</v>
          </cell>
          <cell r="CO65" t="str">
            <v>-</v>
          </cell>
          <cell r="CR65" t="str">
            <v>-</v>
          </cell>
          <cell r="CU65" t="str">
            <v>-</v>
          </cell>
          <cell r="CX65">
            <v>-56.529000000000003</v>
          </cell>
          <cell r="DA65">
            <v>16.186</v>
          </cell>
          <cell r="DD65">
            <v>104.554</v>
          </cell>
          <cell r="DI65" t="str">
            <v>Net Income from companies consolidated by eq. meth.</v>
          </cell>
          <cell r="DK65" t="str">
            <v>-</v>
          </cell>
          <cell r="DN65" t="str">
            <v>-</v>
          </cell>
          <cell r="DQ65" t="str">
            <v>-</v>
          </cell>
          <cell r="DT65" t="str">
            <v>-</v>
          </cell>
          <cell r="DW65" t="str">
            <v>-</v>
          </cell>
          <cell r="DZ65" t="str">
            <v>-</v>
          </cell>
        </row>
        <row r="66">
          <cell r="C66" t="str">
            <v>Net Income</v>
          </cell>
          <cell r="E66">
            <v>1324.7449930999992</v>
          </cell>
          <cell r="H66">
            <v>925.24674873999902</v>
          </cell>
          <cell r="K66">
            <v>1536.1329592027294</v>
          </cell>
          <cell r="N66">
            <v>1808.4051602818463</v>
          </cell>
          <cell r="Q66">
            <v>2290.8966214954867</v>
          </cell>
          <cell r="T66">
            <v>2933.5517523343324</v>
          </cell>
          <cell r="Y66" t="str">
            <v>Net Income</v>
          </cell>
          <cell r="AA66">
            <v>2001.8931700999985</v>
          </cell>
          <cell r="AD66">
            <v>1219.6893224399983</v>
          </cell>
          <cell r="AG66">
            <v>2051.842077580251</v>
          </cell>
          <cell r="AJ66">
            <v>2558.9980649838931</v>
          </cell>
          <cell r="AM66">
            <v>3025.1813653197278</v>
          </cell>
          <cell r="AP66">
            <v>3557.3528130168033</v>
          </cell>
          <cell r="AU66" t="str">
            <v>Net Income</v>
          </cell>
          <cell r="AW66" t="str">
            <v>-</v>
          </cell>
          <cell r="AZ66" t="str">
            <v>-</v>
          </cell>
          <cell r="BC66" t="str">
            <v>-</v>
          </cell>
          <cell r="BF66" t="str">
            <v>-</v>
          </cell>
          <cell r="BI66" t="str">
            <v>-</v>
          </cell>
          <cell r="BL66" t="str">
            <v>-</v>
          </cell>
          <cell r="BQ66" t="str">
            <v>Net Income</v>
          </cell>
          <cell r="BS66">
            <v>-179.959844</v>
          </cell>
          <cell r="BV66">
            <v>-246.50499600000001</v>
          </cell>
          <cell r="BY66">
            <v>-0.16079099999999999</v>
          </cell>
          <cell r="CB66" t="str">
            <v>-</v>
          </cell>
          <cell r="CE66" t="str">
            <v>-</v>
          </cell>
          <cell r="CH66" t="str">
            <v>-</v>
          </cell>
          <cell r="CM66" t="str">
            <v>Net Income</v>
          </cell>
          <cell r="CO66">
            <v>-729.12793600000009</v>
          </cell>
          <cell r="CR66">
            <v>-358.643145</v>
          </cell>
          <cell r="CU66">
            <v>-978.04576841979951</v>
          </cell>
          <cell r="CX66">
            <v>-1239.6182323362923</v>
          </cell>
          <cell r="DA66">
            <v>-1294.9496165361259</v>
          </cell>
          <cell r="DD66">
            <v>-1223.962666883408</v>
          </cell>
          <cell r="DI66" t="str">
            <v>Net Income</v>
          </cell>
          <cell r="DK66">
            <v>231.93960300000032</v>
          </cell>
          <cell r="DN66">
            <v>310.70556729999976</v>
          </cell>
          <cell r="DQ66">
            <v>462.49744104227693</v>
          </cell>
          <cell r="DT66">
            <v>489.02532763424648</v>
          </cell>
          <cell r="DW66">
            <v>560.66487271188316</v>
          </cell>
          <cell r="DZ66">
            <v>600.16160620093603</v>
          </cell>
        </row>
        <row r="67">
          <cell r="C67" t="str">
            <v>Minority Interest in Income</v>
          </cell>
          <cell r="E67">
            <v>512.62185499999998</v>
          </cell>
          <cell r="H67">
            <v>359.84537399999999</v>
          </cell>
          <cell r="K67">
            <v>634.90733</v>
          </cell>
          <cell r="N67">
            <v>748.56399268235577</v>
          </cell>
          <cell r="Q67">
            <v>948.84868767332387</v>
          </cell>
          <cell r="T67">
            <v>1214.9993442975367</v>
          </cell>
          <cell r="Y67" t="str">
            <v>Minority Interest in Income</v>
          </cell>
          <cell r="AA67" t="str">
            <v>-</v>
          </cell>
          <cell r="AD67" t="str">
            <v>-</v>
          </cell>
          <cell r="AG67" t="str">
            <v>-</v>
          </cell>
          <cell r="AJ67" t="str">
            <v>-</v>
          </cell>
          <cell r="AM67" t="str">
            <v>-</v>
          </cell>
          <cell r="AP67" t="str">
            <v>-</v>
          </cell>
          <cell r="AU67" t="str">
            <v>Minority Interest in Income</v>
          </cell>
          <cell r="AW67" t="str">
            <v>-</v>
          </cell>
          <cell r="AZ67" t="str">
            <v>-</v>
          </cell>
          <cell r="BC67" t="str">
            <v>-</v>
          </cell>
          <cell r="BF67" t="str">
            <v>-</v>
          </cell>
          <cell r="BI67" t="str">
            <v>-</v>
          </cell>
          <cell r="BL67" t="str">
            <v>-</v>
          </cell>
          <cell r="BQ67" t="str">
            <v>Minority Interest in Income</v>
          </cell>
          <cell r="BS67">
            <v>-89.260082999999995</v>
          </cell>
          <cell r="BV67">
            <v>-122.325636</v>
          </cell>
          <cell r="BY67">
            <v>-0.105479</v>
          </cell>
          <cell r="CB67" t="str">
            <v>-</v>
          </cell>
          <cell r="CE67" t="str">
            <v>-</v>
          </cell>
          <cell r="CH67" t="str">
            <v>-</v>
          </cell>
          <cell r="CM67" t="str">
            <v>Minority Interest in Income</v>
          </cell>
          <cell r="CO67">
            <v>601.88193799999999</v>
          </cell>
          <cell r="CR67">
            <v>482.17101000000002</v>
          </cell>
          <cell r="CU67">
            <v>635.01280899999995</v>
          </cell>
          <cell r="CX67">
            <v>748.56399268235577</v>
          </cell>
          <cell r="DA67">
            <v>948.84868767332387</v>
          </cell>
          <cell r="DD67">
            <v>1214.9993442975367</v>
          </cell>
          <cell r="DI67" t="str">
            <v>Minority Interest in Income</v>
          </cell>
          <cell r="DK67" t="str">
            <v>-</v>
          </cell>
          <cell r="DN67" t="str">
            <v>-</v>
          </cell>
          <cell r="DQ67" t="str">
            <v>-</v>
          </cell>
          <cell r="DT67" t="str">
            <v>-</v>
          </cell>
          <cell r="DW67" t="str">
            <v>-</v>
          </cell>
          <cell r="DZ67" t="str">
            <v>-</v>
          </cell>
        </row>
        <row r="68">
          <cell r="C68" t="str">
            <v>Group Share of Net Income</v>
          </cell>
          <cell r="E68">
            <v>812.12313809999921</v>
          </cell>
          <cell r="F68">
            <v>1.5678845579084381E-2</v>
          </cell>
          <cell r="H68">
            <v>565.40137473999903</v>
          </cell>
          <cell r="I68">
            <v>1.0437937430859577E-2</v>
          </cell>
          <cell r="K68">
            <v>901.22562920272935</v>
          </cell>
          <cell r="L68">
            <v>1.4804533222224267E-2</v>
          </cell>
          <cell r="N68">
            <v>1059.8411675994905</v>
          </cell>
          <cell r="O68">
            <v>1.6690553005957266E-2</v>
          </cell>
          <cell r="Q68">
            <v>1342.0479338221628</v>
          </cell>
          <cell r="R68">
            <v>1.8587252977971081E-2</v>
          </cell>
          <cell r="T68">
            <v>1718.5524080367957</v>
          </cell>
          <cell r="Y68" t="str">
            <v>Group Share of Net Income</v>
          </cell>
          <cell r="AA68">
            <v>2001.8931700999985</v>
          </cell>
          <cell r="AB68">
            <v>3.8648540359598464E-2</v>
          </cell>
          <cell r="AD68">
            <v>1219.6893224399983</v>
          </cell>
          <cell r="AE68">
            <v>2.251681973460112E-2</v>
          </cell>
          <cell r="AG68">
            <v>2051.842077580251</v>
          </cell>
          <cell r="AH68">
            <v>3.370583705122452E-2</v>
          </cell>
          <cell r="AJ68">
            <v>2558.9980649838931</v>
          </cell>
          <cell r="AK68">
            <v>4.0299522373239319E-2</v>
          </cell>
          <cell r="AM68">
            <v>3025.1813653197278</v>
          </cell>
          <cell r="AN68">
            <v>4.1898511911790511E-2</v>
          </cell>
          <cell r="AP68">
            <v>3557.3528130168033</v>
          </cell>
          <cell r="AU68" t="str">
            <v>Group Share of Net Income</v>
          </cell>
          <cell r="AW68" t="str">
            <v>-</v>
          </cell>
          <cell r="AX68" t="e">
            <v>#DIV/0!</v>
          </cell>
          <cell r="AZ68" t="str">
            <v>-</v>
          </cell>
          <cell r="BA68" t="e">
            <v>#DIV/0!</v>
          </cell>
          <cell r="BC68" t="str">
            <v>-</v>
          </cell>
          <cell r="BD68" t="e">
            <v>#DIV/0!</v>
          </cell>
          <cell r="BF68" t="str">
            <v>-</v>
          </cell>
          <cell r="BG68" t="e">
            <v>#DIV/0!</v>
          </cell>
          <cell r="BI68" t="str">
            <v>-</v>
          </cell>
          <cell r="BJ68" t="e">
            <v>#DIV/0!</v>
          </cell>
          <cell r="BL68" t="str">
            <v>-</v>
          </cell>
          <cell r="BQ68" t="str">
            <v>Group Share of Net Income</v>
          </cell>
          <cell r="BS68">
            <v>-90.699761000000009</v>
          </cell>
          <cell r="BT68" t="e">
            <v>#DIV/0!</v>
          </cell>
          <cell r="BV68">
            <v>-124.17936</v>
          </cell>
          <cell r="BW68" t="e">
            <v>#DIV/0!</v>
          </cell>
          <cell r="BY68">
            <v>-5.5311999999999986E-2</v>
          </cell>
          <cell r="BZ68" t="e">
            <v>#DIV/0!</v>
          </cell>
          <cell r="CB68" t="str">
            <v>-</v>
          </cell>
          <cell r="CC68" t="e">
            <v>#DIV/0!</v>
          </cell>
          <cell r="CE68" t="str">
            <v>-</v>
          </cell>
          <cell r="CF68" t="e">
            <v>#DIV/0!</v>
          </cell>
          <cell r="CH68" t="str">
            <v>-</v>
          </cell>
          <cell r="CM68" t="str">
            <v>Group Share of Net Income</v>
          </cell>
          <cell r="CO68">
            <v>-1331.0098740000001</v>
          </cell>
          <cell r="CP68" t="e">
            <v>#DIV/0!</v>
          </cell>
          <cell r="CR68">
            <v>-840.81415500000003</v>
          </cell>
          <cell r="CS68" t="e">
            <v>#DIV/0!</v>
          </cell>
          <cell r="CU68">
            <v>-1613.0585774197993</v>
          </cell>
          <cell r="CV68" t="e">
            <v>#DIV/0!</v>
          </cell>
          <cell r="CX68">
            <v>-1988.1822250186481</v>
          </cell>
          <cell r="CY68" t="e">
            <v>#DIV/0!</v>
          </cell>
          <cell r="DA68">
            <v>-2243.7983042094497</v>
          </cell>
          <cell r="DB68" t="e">
            <v>#DIV/0!</v>
          </cell>
          <cell r="DD68">
            <v>-2438.9620111809445</v>
          </cell>
          <cell r="DI68" t="str">
            <v>Group Share of Net Income</v>
          </cell>
          <cell r="DK68">
            <v>231.93960300000032</v>
          </cell>
          <cell r="DL68" t="e">
            <v>#DIV/0!</v>
          </cell>
          <cell r="DN68">
            <v>310.70556729999976</v>
          </cell>
          <cell r="DO68" t="e">
            <v>#DIV/0!</v>
          </cell>
          <cell r="DQ68">
            <v>462.49744104227693</v>
          </cell>
          <cell r="DR68" t="e">
            <v>#DIV/0!</v>
          </cell>
          <cell r="DT68">
            <v>489.02532763424648</v>
          </cell>
          <cell r="DU68" t="e">
            <v>#DIV/0!</v>
          </cell>
          <cell r="DW68">
            <v>560.66487271188316</v>
          </cell>
          <cell r="DX68" t="e">
            <v>#DIV/0!</v>
          </cell>
          <cell r="DZ68">
            <v>600.16160620093603</v>
          </cell>
        </row>
        <row r="70">
          <cell r="E70">
            <v>0</v>
          </cell>
          <cell r="H70">
            <v>0</v>
          </cell>
          <cell r="K70">
            <v>0</v>
          </cell>
          <cell r="N70">
            <v>0</v>
          </cell>
          <cell r="Q70">
            <v>0</v>
          </cell>
          <cell r="T70">
            <v>0</v>
          </cell>
          <cell r="AA70">
            <v>0</v>
          </cell>
          <cell r="AD70">
            <v>0</v>
          </cell>
          <cell r="AG70">
            <v>0</v>
          </cell>
          <cell r="AJ70">
            <v>0</v>
          </cell>
          <cell r="AM70">
            <v>0</v>
          </cell>
          <cell r="AP70">
            <v>0</v>
          </cell>
          <cell r="AW70">
            <v>0</v>
          </cell>
          <cell r="AZ70">
            <v>0</v>
          </cell>
          <cell r="BC70">
            <v>0</v>
          </cell>
          <cell r="BF70">
            <v>0</v>
          </cell>
          <cell r="BI70">
            <v>0</v>
          </cell>
          <cell r="BL70">
            <v>0</v>
          </cell>
          <cell r="BS70">
            <v>0</v>
          </cell>
          <cell r="BV70">
            <v>0</v>
          </cell>
          <cell r="BY70">
            <v>0</v>
          </cell>
          <cell r="CB70">
            <v>0</v>
          </cell>
          <cell r="CE70">
            <v>0</v>
          </cell>
          <cell r="CH70">
            <v>0</v>
          </cell>
          <cell r="CO70">
            <v>0</v>
          </cell>
          <cell r="CR70">
            <v>0</v>
          </cell>
          <cell r="CU70">
            <v>0</v>
          </cell>
          <cell r="CX70">
            <v>0</v>
          </cell>
          <cell r="DA70">
            <v>0</v>
          </cell>
          <cell r="DD70">
            <v>0</v>
          </cell>
          <cell r="DK70">
            <v>0</v>
          </cell>
          <cell r="DN70">
            <v>0</v>
          </cell>
          <cell r="DQ70">
            <v>0</v>
          </cell>
          <cell r="DT70">
            <v>0</v>
          </cell>
          <cell r="DW70">
            <v>0</v>
          </cell>
          <cell r="DZ70">
            <v>0</v>
          </cell>
        </row>
        <row r="72">
          <cell r="C72" t="str">
            <v>Number of stores</v>
          </cell>
          <cell r="E72">
            <v>37</v>
          </cell>
          <cell r="H72">
            <v>47</v>
          </cell>
          <cell r="K72">
            <v>50</v>
          </cell>
          <cell r="N72">
            <v>55</v>
          </cell>
          <cell r="Q72">
            <v>64</v>
          </cell>
          <cell r="T72">
            <v>73</v>
          </cell>
          <cell r="Y72" t="str">
            <v>Number of stores</v>
          </cell>
          <cell r="AA72">
            <v>37</v>
          </cell>
          <cell r="AD72">
            <v>47</v>
          </cell>
          <cell r="AG72">
            <v>50</v>
          </cell>
          <cell r="AJ72">
            <v>55</v>
          </cell>
          <cell r="AM72">
            <v>64</v>
          </cell>
          <cell r="AP72">
            <v>73</v>
          </cell>
          <cell r="AU72" t="str">
            <v>Number of stores</v>
          </cell>
          <cell r="AW72" t="str">
            <v>-</v>
          </cell>
          <cell r="AZ72" t="str">
            <v>-</v>
          </cell>
          <cell r="BC72" t="str">
            <v>-</v>
          </cell>
          <cell r="BF72" t="str">
            <v>-</v>
          </cell>
          <cell r="BI72" t="str">
            <v>-</v>
          </cell>
          <cell r="BL72" t="str">
            <v>-</v>
          </cell>
          <cell r="BQ72" t="str">
            <v>Number of stores</v>
          </cell>
          <cell r="BS72" t="str">
            <v>-</v>
          </cell>
          <cell r="BV72" t="str">
            <v>-</v>
          </cell>
          <cell r="BY72" t="str">
            <v>-</v>
          </cell>
          <cell r="CB72" t="str">
            <v>-</v>
          </cell>
          <cell r="CE72" t="str">
            <v>-</v>
          </cell>
          <cell r="CH72" t="str">
            <v>-</v>
          </cell>
          <cell r="CM72" t="str">
            <v>Number of stores</v>
          </cell>
          <cell r="CO72" t="str">
            <v>-</v>
          </cell>
          <cell r="CR72" t="str">
            <v>-</v>
          </cell>
          <cell r="CU72" t="str">
            <v>-</v>
          </cell>
          <cell r="CX72" t="str">
            <v>-</v>
          </cell>
          <cell r="DA72" t="str">
            <v>-</v>
          </cell>
          <cell r="DD72" t="str">
            <v>-</v>
          </cell>
          <cell r="DI72" t="str">
            <v>Number of stores</v>
          </cell>
          <cell r="DK72" t="str">
            <v>-</v>
          </cell>
          <cell r="DN72" t="str">
            <v>-</v>
          </cell>
          <cell r="DQ72" t="str">
            <v>-</v>
          </cell>
          <cell r="DT72" t="str">
            <v>-</v>
          </cell>
          <cell r="DW72" t="str">
            <v>-</v>
          </cell>
          <cell r="DZ72" t="str">
            <v>-</v>
          </cell>
        </row>
        <row r="73">
          <cell r="E73">
            <v>37</v>
          </cell>
          <cell r="H73">
            <v>47</v>
          </cell>
          <cell r="K73">
            <v>50</v>
          </cell>
          <cell r="N73">
            <v>55</v>
          </cell>
          <cell r="Q73">
            <v>64</v>
          </cell>
          <cell r="T73">
            <v>73</v>
          </cell>
          <cell r="AA73">
            <v>0</v>
          </cell>
          <cell r="AD73">
            <v>0</v>
          </cell>
          <cell r="AW73">
            <v>0</v>
          </cell>
          <cell r="AZ73">
            <v>0</v>
          </cell>
          <cell r="BS73">
            <v>0</v>
          </cell>
          <cell r="BV73">
            <v>0</v>
          </cell>
          <cell r="CO73">
            <v>0</v>
          </cell>
          <cell r="CR73">
            <v>0</v>
          </cell>
          <cell r="DK73">
            <v>0</v>
          </cell>
          <cell r="DN73">
            <v>0</v>
          </cell>
        </row>
        <row r="74">
          <cell r="E74" t="str">
            <v>-</v>
          </cell>
          <cell r="H74" t="str">
            <v>-</v>
          </cell>
          <cell r="K74" t="str">
            <v>-</v>
          </cell>
          <cell r="N74" t="str">
            <v>-</v>
          </cell>
          <cell r="Q74" t="str">
            <v>-</v>
          </cell>
          <cell r="T74" t="str">
            <v>-</v>
          </cell>
          <cell r="AA74">
            <v>0</v>
          </cell>
          <cell r="AD74">
            <v>0</v>
          </cell>
          <cell r="AW74">
            <v>0</v>
          </cell>
          <cell r="AZ74">
            <v>0</v>
          </cell>
          <cell r="BS74">
            <v>0</v>
          </cell>
          <cell r="BV74">
            <v>0</v>
          </cell>
          <cell r="CO74">
            <v>0</v>
          </cell>
          <cell r="CR74">
            <v>0</v>
          </cell>
          <cell r="DK74">
            <v>0</v>
          </cell>
          <cell r="DN74">
            <v>0</v>
          </cell>
        </row>
        <row r="75">
          <cell r="E75" t="str">
            <v>-</v>
          </cell>
          <cell r="H75" t="str">
            <v>-</v>
          </cell>
          <cell r="K75" t="str">
            <v>-</v>
          </cell>
          <cell r="N75" t="str">
            <v>-</v>
          </cell>
          <cell r="Q75" t="str">
            <v>-</v>
          </cell>
          <cell r="T75" t="str">
            <v>-</v>
          </cell>
          <cell r="AA75">
            <v>0</v>
          </cell>
          <cell r="AD75">
            <v>0</v>
          </cell>
          <cell r="AW75">
            <v>0</v>
          </cell>
          <cell r="AZ75">
            <v>0</v>
          </cell>
          <cell r="BS75">
            <v>0</v>
          </cell>
          <cell r="BV75">
            <v>0</v>
          </cell>
          <cell r="CO75">
            <v>0</v>
          </cell>
          <cell r="CR75">
            <v>0</v>
          </cell>
          <cell r="DK75">
            <v>0</v>
          </cell>
          <cell r="DN75">
            <v>0</v>
          </cell>
        </row>
        <row r="76">
          <cell r="E76" t="str">
            <v>-</v>
          </cell>
          <cell r="H76" t="str">
            <v>-</v>
          </cell>
          <cell r="K76" t="str">
            <v>-</v>
          </cell>
          <cell r="N76" t="str">
            <v>-</v>
          </cell>
          <cell r="Q76" t="str">
            <v>-</v>
          </cell>
          <cell r="T76" t="str">
            <v>-</v>
          </cell>
          <cell r="AA76">
            <v>0</v>
          </cell>
          <cell r="AD76">
            <v>0</v>
          </cell>
          <cell r="AW76">
            <v>0</v>
          </cell>
          <cell r="AZ76">
            <v>0</v>
          </cell>
          <cell r="BS76">
            <v>0</v>
          </cell>
          <cell r="BV76">
            <v>0</v>
          </cell>
          <cell r="CO76">
            <v>0</v>
          </cell>
          <cell r="CR76">
            <v>0</v>
          </cell>
          <cell r="DK76">
            <v>0</v>
          </cell>
          <cell r="DN76">
            <v>0</v>
          </cell>
        </row>
        <row r="77">
          <cell r="E77" t="str">
            <v>-</v>
          </cell>
          <cell r="H77" t="str">
            <v>-</v>
          </cell>
          <cell r="K77" t="str">
            <v>-</v>
          </cell>
          <cell r="N77" t="str">
            <v>-</v>
          </cell>
          <cell r="Q77" t="str">
            <v>-</v>
          </cell>
          <cell r="T77" t="str">
            <v>-</v>
          </cell>
          <cell r="AA77">
            <v>0</v>
          </cell>
          <cell r="AD77">
            <v>0</v>
          </cell>
          <cell r="AW77">
            <v>0</v>
          </cell>
          <cell r="AZ77">
            <v>0</v>
          </cell>
          <cell r="BS77">
            <v>0</v>
          </cell>
          <cell r="BV77">
            <v>0</v>
          </cell>
          <cell r="CO77">
            <v>0</v>
          </cell>
          <cell r="CR77">
            <v>0</v>
          </cell>
          <cell r="DK77">
            <v>0</v>
          </cell>
          <cell r="DN77">
            <v>0</v>
          </cell>
        </row>
        <row r="79">
          <cell r="C79" t="str">
            <v>Store Openings</v>
          </cell>
          <cell r="E79">
            <v>2262.889318</v>
          </cell>
          <cell r="H79">
            <v>3526.8698850000001</v>
          </cell>
          <cell r="K79">
            <v>1430.6995099999999</v>
          </cell>
          <cell r="N79">
            <v>3190</v>
          </cell>
          <cell r="Q79">
            <v>3492.1242999999995</v>
          </cell>
          <cell r="T79">
            <v>3500</v>
          </cell>
          <cell r="Y79" t="str">
            <v>Store Openings</v>
          </cell>
          <cell r="AA79">
            <v>2192.5131609999999</v>
          </cell>
          <cell r="AD79">
            <v>2495.4457040000002</v>
          </cell>
          <cell r="AG79">
            <v>879.39719500000001</v>
          </cell>
          <cell r="AJ79">
            <v>2155.5935307598911</v>
          </cell>
          <cell r="AM79">
            <v>2643.8562488487896</v>
          </cell>
          <cell r="AP79">
            <v>2600</v>
          </cell>
          <cell r="AU79" t="str">
            <v>Store Openings</v>
          </cell>
          <cell r="AW79" t="str">
            <v>-</v>
          </cell>
          <cell r="AZ79" t="str">
            <v>-</v>
          </cell>
          <cell r="BC79" t="str">
            <v>-</v>
          </cell>
          <cell r="BF79" t="str">
            <v>-</v>
          </cell>
          <cell r="BI79" t="str">
            <v>-</v>
          </cell>
          <cell r="BL79" t="str">
            <v>-</v>
          </cell>
          <cell r="BQ79" t="str">
            <v>Store Openings</v>
          </cell>
          <cell r="BS79" t="str">
            <v>-</v>
          </cell>
          <cell r="BV79" t="str">
            <v>-</v>
          </cell>
          <cell r="BY79" t="str">
            <v>-</v>
          </cell>
          <cell r="CB79" t="str">
            <v>-</v>
          </cell>
          <cell r="CE79" t="str">
            <v>-</v>
          </cell>
          <cell r="CH79" t="str">
            <v>-</v>
          </cell>
          <cell r="CM79" t="str">
            <v>Store Openings</v>
          </cell>
          <cell r="CO79" t="str">
            <v>-</v>
          </cell>
          <cell r="CR79" t="str">
            <v>-</v>
          </cell>
          <cell r="CU79" t="str">
            <v>-</v>
          </cell>
          <cell r="CX79" t="str">
            <v>-</v>
          </cell>
          <cell r="DA79" t="str">
            <v>-</v>
          </cell>
          <cell r="DD79" t="str">
            <v>-</v>
          </cell>
          <cell r="DI79" t="str">
            <v>Store Openings</v>
          </cell>
          <cell r="DK79">
            <v>70.376157000000006</v>
          </cell>
          <cell r="DN79">
            <v>1031.4241810000001</v>
          </cell>
          <cell r="DQ79">
            <v>551.30231500000002</v>
          </cell>
          <cell r="DT79">
            <v>1034.4064692401096</v>
          </cell>
          <cell r="DW79">
            <v>848.2680511512101</v>
          </cell>
          <cell r="DZ79">
            <v>900</v>
          </cell>
        </row>
        <row r="80">
          <cell r="C80" t="str">
            <v>Total Store Extensions</v>
          </cell>
          <cell r="E80" t="str">
            <v>0</v>
          </cell>
          <cell r="H80" t="str">
            <v>0</v>
          </cell>
          <cell r="K80" t="str">
            <v>0</v>
          </cell>
          <cell r="N80" t="str">
            <v>0</v>
          </cell>
          <cell r="Q80" t="str">
            <v>0</v>
          </cell>
          <cell r="T80" t="str">
            <v>0</v>
          </cell>
          <cell r="Y80" t="str">
            <v>Total Store Extensions</v>
          </cell>
          <cell r="AA80" t="str">
            <v>-</v>
          </cell>
          <cell r="AD80" t="str">
            <v>-</v>
          </cell>
          <cell r="AG80" t="str">
            <v>-</v>
          </cell>
          <cell r="AJ80" t="str">
            <v>-</v>
          </cell>
          <cell r="AM80" t="str">
            <v>-</v>
          </cell>
          <cell r="AP80" t="str">
            <v>-</v>
          </cell>
          <cell r="AU80" t="str">
            <v>Total Store Extensions</v>
          </cell>
          <cell r="AW80" t="str">
            <v>-</v>
          </cell>
          <cell r="AZ80" t="str">
            <v>-</v>
          </cell>
          <cell r="BC80" t="str">
            <v>-</v>
          </cell>
          <cell r="BF80" t="str">
            <v>-</v>
          </cell>
          <cell r="BI80" t="str">
            <v>-</v>
          </cell>
          <cell r="BL80" t="str">
            <v>-</v>
          </cell>
          <cell r="BQ80" t="str">
            <v>Total Store Extensions</v>
          </cell>
          <cell r="BS80" t="str">
            <v>-</v>
          </cell>
          <cell r="BV80" t="str">
            <v>-</v>
          </cell>
          <cell r="BY80" t="str">
            <v>-</v>
          </cell>
          <cell r="CB80" t="str">
            <v>-</v>
          </cell>
          <cell r="CE80" t="str">
            <v>-</v>
          </cell>
          <cell r="CH80" t="str">
            <v>-</v>
          </cell>
          <cell r="CM80" t="str">
            <v>Total Store Extensions</v>
          </cell>
          <cell r="CO80" t="str">
            <v>-</v>
          </cell>
          <cell r="CR80" t="str">
            <v>-</v>
          </cell>
          <cell r="CU80" t="str">
            <v>-</v>
          </cell>
          <cell r="CX80" t="str">
            <v>-</v>
          </cell>
          <cell r="DA80" t="str">
            <v>-</v>
          </cell>
          <cell r="DD80" t="str">
            <v>-</v>
          </cell>
          <cell r="DI80" t="str">
            <v>Total Store Extensions</v>
          </cell>
          <cell r="DK80" t="str">
            <v>-</v>
          </cell>
          <cell r="DN80" t="str">
            <v>-</v>
          </cell>
          <cell r="DQ80" t="str">
            <v>-</v>
          </cell>
          <cell r="DT80" t="str">
            <v>-</v>
          </cell>
          <cell r="DW80" t="str">
            <v>-</v>
          </cell>
          <cell r="DZ80" t="str">
            <v>-</v>
          </cell>
        </row>
        <row r="81">
          <cell r="C81" t="str">
            <v>Remodelings</v>
          </cell>
          <cell r="E81">
            <v>371.39662799999996</v>
          </cell>
          <cell r="H81">
            <v>347.94054499999999</v>
          </cell>
          <cell r="K81">
            <v>493.05454699999996</v>
          </cell>
          <cell r="N81">
            <v>280.07499999999999</v>
          </cell>
          <cell r="Q81">
            <v>280</v>
          </cell>
          <cell r="T81">
            <v>280</v>
          </cell>
          <cell r="Y81" t="str">
            <v>Remodelings</v>
          </cell>
          <cell r="AA81">
            <v>321.944187</v>
          </cell>
          <cell r="AD81">
            <v>296.78638699999999</v>
          </cell>
          <cell r="AG81">
            <v>434.72546699999998</v>
          </cell>
          <cell r="AJ81">
            <v>205</v>
          </cell>
          <cell r="AM81">
            <v>205</v>
          </cell>
          <cell r="AP81">
            <v>205</v>
          </cell>
          <cell r="AU81" t="str">
            <v>Remodelings</v>
          </cell>
          <cell r="AW81" t="str">
            <v>-</v>
          </cell>
          <cell r="AZ81" t="str">
            <v>-</v>
          </cell>
          <cell r="BC81" t="str">
            <v>-</v>
          </cell>
          <cell r="BF81" t="str">
            <v>-</v>
          </cell>
          <cell r="BI81" t="str">
            <v>-</v>
          </cell>
          <cell r="BL81" t="str">
            <v>-</v>
          </cell>
          <cell r="BQ81" t="str">
            <v>Remodelings</v>
          </cell>
          <cell r="BS81" t="str">
            <v>-</v>
          </cell>
          <cell r="BV81" t="str">
            <v>-</v>
          </cell>
          <cell r="BY81" t="str">
            <v>-</v>
          </cell>
          <cell r="CB81" t="str">
            <v>-</v>
          </cell>
          <cell r="CE81" t="str">
            <v>-</v>
          </cell>
          <cell r="CH81" t="str">
            <v>-</v>
          </cell>
          <cell r="CM81" t="str">
            <v>Remodelings</v>
          </cell>
          <cell r="CO81">
            <v>13.979834</v>
          </cell>
          <cell r="CR81">
            <v>25.632702999999999</v>
          </cell>
          <cell r="CU81" t="str">
            <v>-</v>
          </cell>
          <cell r="CX81">
            <v>0</v>
          </cell>
          <cell r="DA81" t="str">
            <v>-</v>
          </cell>
          <cell r="DD81" t="str">
            <v>-</v>
          </cell>
          <cell r="DI81" t="str">
            <v>Remodelings</v>
          </cell>
          <cell r="DK81">
            <v>35.472606999999996</v>
          </cell>
          <cell r="DN81">
            <v>25.521455</v>
          </cell>
          <cell r="DQ81">
            <v>58.329079999999998</v>
          </cell>
          <cell r="DT81">
            <v>75.075000000000003</v>
          </cell>
          <cell r="DW81">
            <v>75</v>
          </cell>
          <cell r="DZ81">
            <v>75</v>
          </cell>
        </row>
        <row r="82">
          <cell r="C82" t="str">
            <v>On-going Capital Expenditure</v>
          </cell>
          <cell r="E82">
            <v>134.49044900000001</v>
          </cell>
          <cell r="H82">
            <v>160.54021700000001</v>
          </cell>
          <cell r="K82">
            <v>148.30103499999998</v>
          </cell>
          <cell r="N82">
            <v>124.6</v>
          </cell>
          <cell r="Q82">
            <v>140</v>
          </cell>
          <cell r="T82">
            <v>160</v>
          </cell>
          <cell r="Y82" t="str">
            <v>On-going Capital Expenditure</v>
          </cell>
          <cell r="AA82">
            <v>104.192415</v>
          </cell>
          <cell r="AD82">
            <v>146.954048</v>
          </cell>
          <cell r="AG82">
            <v>132.514286</v>
          </cell>
          <cell r="AJ82">
            <v>120</v>
          </cell>
          <cell r="AM82">
            <v>137.5</v>
          </cell>
          <cell r="AP82">
            <v>157.5</v>
          </cell>
          <cell r="AU82" t="str">
            <v>On-going Capital Expenditure</v>
          </cell>
          <cell r="AW82" t="str">
            <v>-</v>
          </cell>
          <cell r="AZ82" t="str">
            <v>-</v>
          </cell>
          <cell r="BC82" t="str">
            <v>-</v>
          </cell>
          <cell r="BF82" t="str">
            <v>-</v>
          </cell>
          <cell r="BI82" t="str">
            <v>-</v>
          </cell>
          <cell r="BL82" t="str">
            <v>-</v>
          </cell>
          <cell r="BQ82" t="str">
            <v>On-going Capital Expenditure</v>
          </cell>
          <cell r="BS82">
            <v>3.7474270000000001</v>
          </cell>
          <cell r="BV82" t="str">
            <v>-</v>
          </cell>
          <cell r="BY82" t="str">
            <v>-</v>
          </cell>
          <cell r="CB82" t="str">
            <v>-</v>
          </cell>
          <cell r="CE82" t="str">
            <v>-</v>
          </cell>
          <cell r="CH82" t="str">
            <v>-</v>
          </cell>
          <cell r="CM82" t="str">
            <v>On-going Capital Expenditure</v>
          </cell>
          <cell r="CO82">
            <v>15.432752000000001</v>
          </cell>
          <cell r="CR82">
            <v>3.381678</v>
          </cell>
          <cell r="CU82">
            <v>15.701034999999999</v>
          </cell>
          <cell r="CX82">
            <v>4.5999999999999996</v>
          </cell>
          <cell r="DA82">
            <v>2.5</v>
          </cell>
          <cell r="DD82">
            <v>2.5</v>
          </cell>
          <cell r="DI82" t="str">
            <v>On-going Capital Expenditure</v>
          </cell>
          <cell r="DK82">
            <v>11.117855</v>
          </cell>
          <cell r="DN82">
            <v>10.204491000000001</v>
          </cell>
          <cell r="DQ82">
            <v>8.5713999999999999E-2</v>
          </cell>
          <cell r="DT82" t="str">
            <v>-</v>
          </cell>
          <cell r="DW82" t="str">
            <v>-</v>
          </cell>
          <cell r="DZ82" t="str">
            <v>-</v>
          </cell>
        </row>
        <row r="83">
          <cell r="C83" t="str">
            <v>Total Tangible Investments</v>
          </cell>
          <cell r="E83">
            <v>2768.7763949999999</v>
          </cell>
          <cell r="H83">
            <v>4035.3506470000002</v>
          </cell>
          <cell r="K83">
            <v>2072.0550920000001</v>
          </cell>
          <cell r="N83">
            <v>3594.6750000000006</v>
          </cell>
          <cell r="Q83">
            <v>3912.1242999999995</v>
          </cell>
          <cell r="T83">
            <v>3940</v>
          </cell>
          <cell r="Y83" t="str">
            <v>Total Tangible Investments</v>
          </cell>
          <cell r="AA83">
            <v>2618.6497629999999</v>
          </cell>
          <cell r="AD83">
            <v>2939.1861390000004</v>
          </cell>
          <cell r="AG83">
            <v>1446.6369480000001</v>
          </cell>
          <cell r="AJ83">
            <v>2480.5935307598911</v>
          </cell>
          <cell r="AM83">
            <v>2986.3562488487896</v>
          </cell>
          <cell r="AP83">
            <v>2962.5</v>
          </cell>
          <cell r="AU83" t="str">
            <v>Total Tangible Investments</v>
          </cell>
          <cell r="AW83" t="str">
            <v>-</v>
          </cell>
          <cell r="AZ83" t="str">
            <v>-</v>
          </cell>
          <cell r="BC83" t="str">
            <v>-</v>
          </cell>
          <cell r="BF83" t="str">
            <v>-</v>
          </cell>
          <cell r="BI83" t="str">
            <v>-</v>
          </cell>
          <cell r="BL83" t="str">
            <v>-</v>
          </cell>
          <cell r="BQ83" t="str">
            <v>Total Tangible Investments</v>
          </cell>
          <cell r="BS83">
            <v>3.7474270000000001</v>
          </cell>
          <cell r="BV83" t="str">
            <v>-</v>
          </cell>
          <cell r="BY83" t="str">
            <v>-</v>
          </cell>
          <cell r="CB83" t="str">
            <v>-</v>
          </cell>
          <cell r="CE83" t="str">
            <v>-</v>
          </cell>
          <cell r="CH83" t="str">
            <v>-</v>
          </cell>
          <cell r="CM83" t="str">
            <v>Total Tangible Investments</v>
          </cell>
          <cell r="CO83">
            <v>29.412586000000001</v>
          </cell>
          <cell r="CR83">
            <v>29.014381</v>
          </cell>
          <cell r="CU83">
            <v>15.701034999999999</v>
          </cell>
          <cell r="CX83">
            <v>4.5999999999999996</v>
          </cell>
          <cell r="DA83">
            <v>2.5</v>
          </cell>
          <cell r="DD83">
            <v>2.5</v>
          </cell>
          <cell r="DI83" t="str">
            <v>Total Tangible Investments</v>
          </cell>
          <cell r="DK83">
            <v>116.96661900000001</v>
          </cell>
          <cell r="DN83">
            <v>1067.1501270000001</v>
          </cell>
          <cell r="DQ83">
            <v>609.71710900000005</v>
          </cell>
          <cell r="DT83">
            <v>1109.4814692401096</v>
          </cell>
          <cell r="DW83">
            <v>923.2680511512101</v>
          </cell>
          <cell r="DZ83">
            <v>975</v>
          </cell>
        </row>
        <row r="84">
          <cell r="C84" t="str">
            <v>Intangible investments</v>
          </cell>
          <cell r="E84" t="str">
            <v>0</v>
          </cell>
          <cell r="H84" t="str">
            <v>0</v>
          </cell>
          <cell r="K84" t="str">
            <v>0</v>
          </cell>
          <cell r="N84" t="str">
            <v>0</v>
          </cell>
          <cell r="Q84" t="str">
            <v>0</v>
          </cell>
          <cell r="T84" t="str">
            <v>0</v>
          </cell>
          <cell r="Y84" t="str">
            <v>Intangible investments</v>
          </cell>
          <cell r="AA84" t="str">
            <v>-</v>
          </cell>
          <cell r="AD84" t="str">
            <v>-</v>
          </cell>
          <cell r="AG84" t="str">
            <v>-</v>
          </cell>
          <cell r="AJ84" t="str">
            <v>-</v>
          </cell>
          <cell r="AM84" t="str">
            <v>-</v>
          </cell>
          <cell r="AP84" t="str">
            <v>-</v>
          </cell>
          <cell r="AU84" t="str">
            <v>Intangible investments</v>
          </cell>
          <cell r="AW84" t="str">
            <v>-</v>
          </cell>
          <cell r="AZ84" t="str">
            <v>-</v>
          </cell>
          <cell r="BC84" t="str">
            <v>-</v>
          </cell>
          <cell r="BF84" t="str">
            <v>-</v>
          </cell>
          <cell r="BI84" t="str">
            <v>-</v>
          </cell>
          <cell r="BL84" t="str">
            <v>-</v>
          </cell>
          <cell r="BQ84" t="str">
            <v>Intangible investments</v>
          </cell>
          <cell r="BS84" t="str">
            <v>-</v>
          </cell>
          <cell r="BV84" t="str">
            <v>-</v>
          </cell>
          <cell r="BY84" t="str">
            <v>-</v>
          </cell>
          <cell r="CB84" t="str">
            <v>-</v>
          </cell>
          <cell r="CE84" t="str">
            <v>-</v>
          </cell>
          <cell r="CH84" t="str">
            <v>-</v>
          </cell>
          <cell r="CM84" t="str">
            <v>Intangible investments</v>
          </cell>
          <cell r="CO84" t="str">
            <v>-</v>
          </cell>
          <cell r="CR84" t="str">
            <v>-</v>
          </cell>
          <cell r="CU84" t="str">
            <v>-</v>
          </cell>
          <cell r="CX84" t="str">
            <v>-</v>
          </cell>
          <cell r="DA84" t="str">
            <v>-</v>
          </cell>
          <cell r="DD84" t="str">
            <v>-</v>
          </cell>
          <cell r="DI84" t="str">
            <v>Intangible investments</v>
          </cell>
          <cell r="DK84" t="str">
            <v>-</v>
          </cell>
          <cell r="DN84" t="str">
            <v>-</v>
          </cell>
          <cell r="DQ84" t="str">
            <v>-</v>
          </cell>
          <cell r="DT84" t="str">
            <v>-</v>
          </cell>
          <cell r="DW84" t="str">
            <v>-</v>
          </cell>
          <cell r="DZ84" t="str">
            <v>-</v>
          </cell>
        </row>
        <row r="85">
          <cell r="C85" t="str">
            <v>IT Investments</v>
          </cell>
          <cell r="E85">
            <v>164.96241799999999</v>
          </cell>
          <cell r="H85">
            <v>106.99704399999999</v>
          </cell>
          <cell r="K85">
            <v>227.09190800000002</v>
          </cell>
          <cell r="N85">
            <v>270.02901000000003</v>
          </cell>
          <cell r="Q85">
            <v>286.257073367347</v>
          </cell>
          <cell r="T85">
            <v>333.09913991836743</v>
          </cell>
          <cell r="Y85" t="str">
            <v>IT Investments</v>
          </cell>
          <cell r="AA85">
            <v>39.727170999999998</v>
          </cell>
          <cell r="AD85">
            <v>36.166626999999998</v>
          </cell>
          <cell r="AG85">
            <v>81.216294000000005</v>
          </cell>
          <cell r="AJ85">
            <v>142.19499999999999</v>
          </cell>
          <cell r="AM85">
            <v>156.75424402040818</v>
          </cell>
          <cell r="AP85">
            <v>184.85948395102045</v>
          </cell>
          <cell r="AU85" t="str">
            <v>IT Investments</v>
          </cell>
          <cell r="AW85" t="str">
            <v>-</v>
          </cell>
          <cell r="AZ85" t="str">
            <v>-</v>
          </cell>
          <cell r="BC85" t="str">
            <v>-</v>
          </cell>
          <cell r="BF85" t="str">
            <v>-</v>
          </cell>
          <cell r="BI85" t="str">
            <v>-</v>
          </cell>
          <cell r="BL85" t="str">
            <v>-</v>
          </cell>
          <cell r="BQ85" t="str">
            <v>IT Investments</v>
          </cell>
          <cell r="BS85">
            <v>0.60948999999999998</v>
          </cell>
          <cell r="BV85" t="str">
            <v>-</v>
          </cell>
          <cell r="BY85" t="str">
            <v>-</v>
          </cell>
          <cell r="CB85" t="str">
            <v>-</v>
          </cell>
          <cell r="CE85" t="str">
            <v>-</v>
          </cell>
          <cell r="CH85" t="str">
            <v>-</v>
          </cell>
          <cell r="CM85" t="str">
            <v>IT Investments</v>
          </cell>
          <cell r="CO85">
            <v>115.77827499999999</v>
          </cell>
          <cell r="CR85">
            <v>68.315432999999999</v>
          </cell>
          <cell r="CU85">
            <v>129.26628700000001</v>
          </cell>
          <cell r="CX85">
            <v>122.54301000000002</v>
          </cell>
          <cell r="DA85">
            <v>114.50282934693881</v>
          </cell>
          <cell r="DD85">
            <v>133.23965596734698</v>
          </cell>
          <cell r="DI85" t="str">
            <v>IT Investments</v>
          </cell>
          <cell r="DK85">
            <v>8.8474819999999994</v>
          </cell>
          <cell r="DN85">
            <v>2.5149840000000001</v>
          </cell>
          <cell r="DQ85">
            <v>16.609327</v>
          </cell>
          <cell r="DT85">
            <v>5.2910000000000004</v>
          </cell>
          <cell r="DW85">
            <v>15</v>
          </cell>
          <cell r="DZ85">
            <v>15</v>
          </cell>
        </row>
        <row r="86">
          <cell r="C86" t="str">
            <v>Total tangible and intangible investments</v>
          </cell>
          <cell r="E86">
            <v>2933.7388129999999</v>
          </cell>
          <cell r="H86">
            <v>4142.3476909999999</v>
          </cell>
          <cell r="K86">
            <v>2299.1469999999999</v>
          </cell>
          <cell r="N86">
            <v>3864.7040100000008</v>
          </cell>
          <cell r="Q86">
            <v>4198.3813733673469</v>
          </cell>
          <cell r="T86">
            <v>4273.0991399183677</v>
          </cell>
          <cell r="Y86" t="str">
            <v>Total tangible and intangible investments</v>
          </cell>
          <cell r="AA86">
            <v>2658.3769339999999</v>
          </cell>
          <cell r="AD86">
            <v>2975.3527660000004</v>
          </cell>
          <cell r="AG86">
            <v>1527.8532420000001</v>
          </cell>
          <cell r="AJ86">
            <v>2622.7885307598913</v>
          </cell>
          <cell r="AM86">
            <v>3143.110492869198</v>
          </cell>
          <cell r="AP86">
            <v>3147.3594839510206</v>
          </cell>
          <cell r="AU86" t="str">
            <v>Total tangible and intangible investments</v>
          </cell>
          <cell r="AW86" t="str">
            <v>-</v>
          </cell>
          <cell r="AZ86" t="str">
            <v>-</v>
          </cell>
          <cell r="BC86" t="str">
            <v>-</v>
          </cell>
          <cell r="BF86" t="str">
            <v>-</v>
          </cell>
          <cell r="BI86" t="str">
            <v>-</v>
          </cell>
          <cell r="BL86" t="str">
            <v>-</v>
          </cell>
          <cell r="BQ86" t="str">
            <v>Total tangible and intangible investments</v>
          </cell>
          <cell r="BS86">
            <v>4.3569170000000002</v>
          </cell>
          <cell r="BV86" t="str">
            <v>-</v>
          </cell>
          <cell r="BY86" t="str">
            <v>-</v>
          </cell>
          <cell r="CB86" t="str">
            <v>-</v>
          </cell>
          <cell r="CE86" t="str">
            <v>-</v>
          </cell>
          <cell r="CH86" t="str">
            <v>-</v>
          </cell>
          <cell r="CM86" t="str">
            <v>Total tangible and intangible investments</v>
          </cell>
          <cell r="CO86">
            <v>145.19086099999998</v>
          </cell>
          <cell r="CR86">
            <v>97.329813999999999</v>
          </cell>
          <cell r="CU86">
            <v>144.967322</v>
          </cell>
          <cell r="CX86">
            <v>127.14301000000002</v>
          </cell>
          <cell r="DA86">
            <v>117.00282934693881</v>
          </cell>
          <cell r="DD86">
            <v>135.73965596734698</v>
          </cell>
          <cell r="DI86" t="str">
            <v>Total tangible and intangible investments</v>
          </cell>
          <cell r="DK86">
            <v>125.81410100000001</v>
          </cell>
          <cell r="DN86">
            <v>1069.665111</v>
          </cell>
          <cell r="DQ86">
            <v>626.32643600000006</v>
          </cell>
          <cell r="DT86">
            <v>1114.7724692401096</v>
          </cell>
          <cell r="DW86">
            <v>938.2680511512101</v>
          </cell>
          <cell r="DZ86">
            <v>990</v>
          </cell>
        </row>
        <row r="88">
          <cell r="C88" t="str">
            <v>Total financial investments</v>
          </cell>
          <cell r="E88" t="str">
            <v>0</v>
          </cell>
          <cell r="H88">
            <v>2356.83</v>
          </cell>
          <cell r="K88" t="str">
            <v>0</v>
          </cell>
          <cell r="N88" t="str">
            <v>0</v>
          </cell>
          <cell r="Q88" t="str">
            <v>0</v>
          </cell>
          <cell r="T88" t="str">
            <v>0</v>
          </cell>
          <cell r="Y88" t="str">
            <v>Total financial investments</v>
          </cell>
          <cell r="AA88" t="str">
            <v>-</v>
          </cell>
          <cell r="AD88" t="str">
            <v>-</v>
          </cell>
          <cell r="AG88" t="str">
            <v>-</v>
          </cell>
          <cell r="AJ88" t="str">
            <v>-</v>
          </cell>
          <cell r="AM88" t="str">
            <v>-</v>
          </cell>
          <cell r="AP88" t="str">
            <v>-</v>
          </cell>
          <cell r="AU88" t="str">
            <v>Total financial investments</v>
          </cell>
          <cell r="AW88" t="str">
            <v>-</v>
          </cell>
          <cell r="AZ88" t="str">
            <v>-</v>
          </cell>
          <cell r="BC88" t="str">
            <v>-</v>
          </cell>
          <cell r="BF88" t="str">
            <v>-</v>
          </cell>
          <cell r="BI88" t="str">
            <v>-</v>
          </cell>
          <cell r="BL88" t="str">
            <v>-</v>
          </cell>
          <cell r="BQ88" t="str">
            <v>Total financial investments</v>
          </cell>
          <cell r="BS88" t="str">
            <v>-</v>
          </cell>
          <cell r="BV88" t="str">
            <v>-</v>
          </cell>
          <cell r="BY88" t="str">
            <v>-</v>
          </cell>
          <cell r="CB88" t="str">
            <v>-</v>
          </cell>
          <cell r="CE88" t="str">
            <v>-</v>
          </cell>
          <cell r="CH88" t="str">
            <v>-</v>
          </cell>
          <cell r="CM88" t="str">
            <v>Total financial investments</v>
          </cell>
          <cell r="CO88" t="str">
            <v>-</v>
          </cell>
          <cell r="CR88">
            <v>2356.83</v>
          </cell>
          <cell r="CU88" t="str">
            <v>-</v>
          </cell>
          <cell r="CX88" t="str">
            <v>-</v>
          </cell>
          <cell r="DA88" t="str">
            <v>-</v>
          </cell>
          <cell r="DD88" t="str">
            <v>-</v>
          </cell>
          <cell r="DI88" t="str">
            <v>Total financial investments</v>
          </cell>
          <cell r="DK88" t="str">
            <v>-</v>
          </cell>
          <cell r="DN88" t="str">
            <v>-</v>
          </cell>
          <cell r="DQ88" t="str">
            <v>-</v>
          </cell>
          <cell r="DT88" t="str">
            <v>-</v>
          </cell>
          <cell r="DW88" t="str">
            <v>-</v>
          </cell>
          <cell r="DZ88" t="str">
            <v>-</v>
          </cell>
        </row>
        <row r="90">
          <cell r="C90" t="str">
            <v>Inventory Closing (Merchandise Treasury position)</v>
          </cell>
          <cell r="E90">
            <v>-4431.7390000000005</v>
          </cell>
          <cell r="H90">
            <v>-4186.6884740000005</v>
          </cell>
          <cell r="K90">
            <v>-4961.4932030244008</v>
          </cell>
          <cell r="N90">
            <v>-4896.3983877536548</v>
          </cell>
          <cell r="Q90">
            <v>-5418.819070985568</v>
          </cell>
          <cell r="T90">
            <v>-6020.3320452825374</v>
          </cell>
          <cell r="Y90" t="str">
            <v>Inventory Closing (Merchandise Treasury position)</v>
          </cell>
          <cell r="AA90">
            <v>-4431.7390000000005</v>
          </cell>
          <cell r="AD90" t="str">
            <v>-</v>
          </cell>
          <cell r="AG90" t="str">
            <v>-</v>
          </cell>
          <cell r="AJ90" t="str">
            <v>-</v>
          </cell>
          <cell r="AM90" t="str">
            <v>-</v>
          </cell>
          <cell r="AP90" t="str">
            <v>-</v>
          </cell>
          <cell r="AU90" t="str">
            <v>Inventory Closing (Merchandise Treasury position)</v>
          </cell>
          <cell r="AW90" t="str">
            <v>-</v>
          </cell>
          <cell r="AZ90" t="str">
            <v>-</v>
          </cell>
          <cell r="BC90" t="str">
            <v>-</v>
          </cell>
          <cell r="BF90" t="str">
            <v>-</v>
          </cell>
          <cell r="BI90" t="str">
            <v>-</v>
          </cell>
          <cell r="BL90" t="str">
            <v>-</v>
          </cell>
          <cell r="BQ90" t="str">
            <v>Inventory Closing (Merchandise Treasury position)</v>
          </cell>
          <cell r="BS90" t="str">
            <v>-</v>
          </cell>
          <cell r="BV90" t="str">
            <v>-</v>
          </cell>
          <cell r="BY90" t="str">
            <v>-</v>
          </cell>
          <cell r="CB90" t="str">
            <v>-</v>
          </cell>
          <cell r="CE90" t="str">
            <v>-</v>
          </cell>
          <cell r="CH90" t="str">
            <v>-</v>
          </cell>
          <cell r="CM90" t="str">
            <v>Inventory Closing (Merchandise Treasury position)</v>
          </cell>
          <cell r="CO90" t="str">
            <v>-</v>
          </cell>
          <cell r="CR90">
            <v>-4186.6884740000005</v>
          </cell>
          <cell r="CU90">
            <v>-4961.4932030244008</v>
          </cell>
          <cell r="CX90">
            <v>-4896.3983877536548</v>
          </cell>
          <cell r="DA90">
            <v>-5418.819070985568</v>
          </cell>
          <cell r="DD90">
            <v>-6020.3320452825374</v>
          </cell>
          <cell r="DI90" t="str">
            <v>Inventory Closing (Merchandise Treasury position)</v>
          </cell>
          <cell r="DK90" t="str">
            <v>-</v>
          </cell>
          <cell r="DN90" t="str">
            <v>-</v>
          </cell>
          <cell r="DQ90" t="str">
            <v>-</v>
          </cell>
          <cell r="DT90" t="str">
            <v>-</v>
          </cell>
          <cell r="DW90" t="str">
            <v>-</v>
          </cell>
          <cell r="DZ90" t="str">
            <v>-</v>
          </cell>
        </row>
        <row r="91">
          <cell r="C91" t="str">
            <v>Receivables Closing (Merchandise Treasury position)</v>
          </cell>
          <cell r="E91">
            <v>38.077455</v>
          </cell>
          <cell r="H91">
            <v>32.170873999999998</v>
          </cell>
          <cell r="K91">
            <v>688.53308290522602</v>
          </cell>
          <cell r="N91">
            <v>716.31699199442369</v>
          </cell>
          <cell r="Q91">
            <v>814.81911221591145</v>
          </cell>
          <cell r="T91">
            <v>931.19068215820869</v>
          </cell>
          <cell r="Y91" t="str">
            <v>Receivables Closing (Merchandise Treasury position)</v>
          </cell>
          <cell r="AA91" t="str">
            <v>-</v>
          </cell>
          <cell r="AD91" t="str">
            <v>-</v>
          </cell>
          <cell r="AG91" t="str">
            <v>-</v>
          </cell>
          <cell r="AJ91" t="str">
            <v>-</v>
          </cell>
          <cell r="AM91" t="str">
            <v>-</v>
          </cell>
          <cell r="AP91" t="str">
            <v>-</v>
          </cell>
          <cell r="AU91" t="str">
            <v>Receivables Closing (Merchandise Treasury position)</v>
          </cell>
          <cell r="AW91" t="str">
            <v>-</v>
          </cell>
          <cell r="AZ91" t="str">
            <v>-</v>
          </cell>
          <cell r="BC91" t="str">
            <v>-</v>
          </cell>
          <cell r="BF91" t="str">
            <v>-</v>
          </cell>
          <cell r="BI91" t="str">
            <v>-</v>
          </cell>
          <cell r="BL91" t="str">
            <v>-</v>
          </cell>
          <cell r="BQ91" t="str">
            <v>Receivables Closing (Merchandise Treasury position)</v>
          </cell>
          <cell r="BS91" t="str">
            <v>-</v>
          </cell>
          <cell r="BV91" t="str">
            <v>-</v>
          </cell>
          <cell r="BY91" t="str">
            <v>-</v>
          </cell>
          <cell r="CB91" t="str">
            <v>-</v>
          </cell>
          <cell r="CE91" t="str">
            <v>-</v>
          </cell>
          <cell r="CH91" t="str">
            <v>-</v>
          </cell>
          <cell r="CM91" t="str">
            <v>Receivables Closing (Merchandise Treasury position)</v>
          </cell>
          <cell r="CO91">
            <v>38.077455</v>
          </cell>
          <cell r="CR91">
            <v>32.170873999999998</v>
          </cell>
          <cell r="CU91">
            <v>688.53308290522602</v>
          </cell>
          <cell r="CX91">
            <v>716.31699199442369</v>
          </cell>
          <cell r="DA91">
            <v>814.81911221591145</v>
          </cell>
          <cell r="DD91">
            <v>931.19068215820869</v>
          </cell>
          <cell r="DI91" t="str">
            <v>Receivables Closing (Merchandise Treasury position)</v>
          </cell>
          <cell r="DK91" t="str">
            <v>-</v>
          </cell>
          <cell r="DN91" t="str">
            <v>-</v>
          </cell>
          <cell r="DQ91" t="str">
            <v>-</v>
          </cell>
          <cell r="DT91" t="str">
            <v>-</v>
          </cell>
          <cell r="DW91" t="str">
            <v>-</v>
          </cell>
          <cell r="DZ91" t="str">
            <v>-</v>
          </cell>
        </row>
        <row r="92">
          <cell r="C92" t="str">
            <v>Trade Payables Closing (Merchandise Treasury position)</v>
          </cell>
          <cell r="E92">
            <v>10691.795028999999</v>
          </cell>
          <cell r="H92">
            <v>10353.508969</v>
          </cell>
          <cell r="K92">
            <v>11922.628658614369</v>
          </cell>
          <cell r="N92">
            <v>12403.734416608524</v>
          </cell>
          <cell r="Q92">
            <v>14109.395670431863</v>
          </cell>
          <cell r="T92">
            <v>16124.565309024489</v>
          </cell>
          <cell r="Y92" t="str">
            <v>Trade Payables Closing (Merchandise Treasury position)</v>
          </cell>
          <cell r="AA92" t="str">
            <v>-</v>
          </cell>
          <cell r="AD92">
            <v>669.601945</v>
          </cell>
          <cell r="AG92" t="str">
            <v>-</v>
          </cell>
          <cell r="AJ92" t="str">
            <v>-</v>
          </cell>
          <cell r="AM92" t="str">
            <v>-</v>
          </cell>
          <cell r="AP92" t="str">
            <v>-</v>
          </cell>
          <cell r="AU92" t="str">
            <v>Trade Payables Closing (Merchandise Treasury position)</v>
          </cell>
          <cell r="AW92" t="str">
            <v>-</v>
          </cell>
          <cell r="AZ92" t="str">
            <v>-</v>
          </cell>
          <cell r="BC92" t="str">
            <v>-</v>
          </cell>
          <cell r="BF92" t="str">
            <v>-</v>
          </cell>
          <cell r="BI92" t="str">
            <v>-</v>
          </cell>
          <cell r="BL92" t="str">
            <v>-</v>
          </cell>
          <cell r="BQ92" t="str">
            <v>Trade Payables Closing (Merchandise Treasury position)</v>
          </cell>
          <cell r="BS92">
            <v>72.018424999999993</v>
          </cell>
          <cell r="BV92" t="str">
            <v>-</v>
          </cell>
          <cell r="BY92" t="str">
            <v>-</v>
          </cell>
          <cell r="CB92" t="str">
            <v>-</v>
          </cell>
          <cell r="CE92" t="str">
            <v>-</v>
          </cell>
          <cell r="CH92" t="str">
            <v>-</v>
          </cell>
          <cell r="CM92" t="str">
            <v>Trade Payables Closing (Merchandise Treasury position)</v>
          </cell>
          <cell r="CO92">
            <v>10619.776603999999</v>
          </cell>
          <cell r="CR92">
            <v>9683.9070240000001</v>
          </cell>
          <cell r="CU92">
            <v>11922.628658614369</v>
          </cell>
          <cell r="CX92">
            <v>12403.734416608524</v>
          </cell>
          <cell r="DA92">
            <v>14109.395670431863</v>
          </cell>
          <cell r="DD92">
            <v>16124.565309024489</v>
          </cell>
          <cell r="DI92" t="str">
            <v>Trade Payables Closing (Merchandise Treasury position)</v>
          </cell>
          <cell r="DK92" t="str">
            <v>-</v>
          </cell>
          <cell r="DN92" t="str">
            <v>-</v>
          </cell>
          <cell r="DQ92" t="str">
            <v>-</v>
          </cell>
          <cell r="DT92" t="str">
            <v>-</v>
          </cell>
          <cell r="DW92" t="str">
            <v>-</v>
          </cell>
          <cell r="DZ92" t="str">
            <v>-</v>
          </cell>
        </row>
        <row r="93">
          <cell r="C93" t="str">
            <v>Merchandise Treasury (in value)</v>
          </cell>
          <cell r="E93">
            <v>6298.133484</v>
          </cell>
          <cell r="H93">
            <v>6198.9913689999994</v>
          </cell>
          <cell r="K93">
            <v>7649.6685384951943</v>
          </cell>
          <cell r="N93">
            <v>8223.6530208492932</v>
          </cell>
          <cell r="Q93">
            <v>9505.3957116622059</v>
          </cell>
          <cell r="T93">
            <v>11035.423945900162</v>
          </cell>
          <cell r="Y93" t="str">
            <v>Merchandise Treasury (in value)</v>
          </cell>
          <cell r="AA93">
            <v>-4431.7390000000005</v>
          </cell>
          <cell r="AD93">
            <v>669.601945</v>
          </cell>
          <cell r="AG93" t="str">
            <v>-</v>
          </cell>
          <cell r="AJ93" t="str">
            <v>-</v>
          </cell>
          <cell r="AM93" t="str">
            <v>-</v>
          </cell>
          <cell r="AP93" t="str">
            <v>-</v>
          </cell>
          <cell r="AU93" t="str">
            <v>Merchandise Treasury (in value)</v>
          </cell>
          <cell r="AW93" t="str">
            <v>-</v>
          </cell>
          <cell r="AZ93" t="str">
            <v>-</v>
          </cell>
          <cell r="BC93" t="str">
            <v>-</v>
          </cell>
          <cell r="BF93" t="str">
            <v>-</v>
          </cell>
          <cell r="BI93" t="str">
            <v>-</v>
          </cell>
          <cell r="BL93" t="str">
            <v>-</v>
          </cell>
          <cell r="BQ93" t="str">
            <v>Merchandise Treasury (in value)</v>
          </cell>
          <cell r="BS93">
            <v>72.018424999999993</v>
          </cell>
          <cell r="BV93" t="str">
            <v>-</v>
          </cell>
          <cell r="BY93" t="str">
            <v>-</v>
          </cell>
          <cell r="CB93" t="str">
            <v>-</v>
          </cell>
          <cell r="CE93" t="str">
            <v>-</v>
          </cell>
          <cell r="CH93" t="str">
            <v>-</v>
          </cell>
          <cell r="CM93" t="str">
            <v>Merchandise Treasury (in value)</v>
          </cell>
          <cell r="CO93">
            <v>10657.854059000001</v>
          </cell>
          <cell r="CR93">
            <v>5529.3894239999991</v>
          </cell>
          <cell r="CU93">
            <v>7649.6685384951943</v>
          </cell>
          <cell r="CX93">
            <v>8223.6530208492932</v>
          </cell>
          <cell r="DA93">
            <v>9505.3957116622059</v>
          </cell>
          <cell r="DD93">
            <v>11035.423945900162</v>
          </cell>
          <cell r="DI93" t="str">
            <v>Merchandise Treasury (in value)</v>
          </cell>
          <cell r="DK93" t="str">
            <v>-</v>
          </cell>
          <cell r="DN93" t="str">
            <v>-</v>
          </cell>
          <cell r="DQ93" t="str">
            <v>-</v>
          </cell>
          <cell r="DT93" t="str">
            <v>-</v>
          </cell>
          <cell r="DW93" t="str">
            <v>-</v>
          </cell>
          <cell r="DZ93" t="str">
            <v>-</v>
          </cell>
        </row>
        <row r="94">
          <cell r="C94" t="str">
            <v>Merchandise Treasury (in nb of days)</v>
          </cell>
          <cell r="E94">
            <v>57.427013250425041</v>
          </cell>
          <cell r="H94">
            <v>54.511821646631411</v>
          </cell>
          <cell r="K94">
            <v>59.994517523507476</v>
          </cell>
          <cell r="N94">
            <v>61.994803771304639</v>
          </cell>
          <cell r="Q94">
            <v>62.994611997025913</v>
          </cell>
          <cell r="T94">
            <v>63.994422396958555</v>
          </cell>
          <cell r="Y94" t="str">
            <v>Merchandise Treasury (in nb of days)</v>
          </cell>
          <cell r="AA94">
            <v>-40.368875118670374</v>
          </cell>
          <cell r="AD94">
            <v>5.8829185376443887</v>
          </cell>
          <cell r="AG94" t="str">
            <v>-</v>
          </cell>
          <cell r="AJ94" t="str">
            <v>-</v>
          </cell>
          <cell r="AM94" t="str">
            <v>-</v>
          </cell>
          <cell r="AP94" t="str">
            <v>-</v>
          </cell>
          <cell r="AU94" t="str">
            <v>Merchandise Treasury (in nb of days)</v>
          </cell>
          <cell r="AW94" t="str">
            <v>-</v>
          </cell>
          <cell r="AZ94" t="str">
            <v>-</v>
          </cell>
          <cell r="BC94" t="str">
            <v>-</v>
          </cell>
          <cell r="BF94" t="str">
            <v>-</v>
          </cell>
          <cell r="BI94" t="str">
            <v>-</v>
          </cell>
          <cell r="BL94" t="str">
            <v>-</v>
          </cell>
          <cell r="BQ94" t="str">
            <v>Merchandise Treasury (in nb of days)</v>
          </cell>
          <cell r="BS94" t="str">
            <v>-</v>
          </cell>
          <cell r="BV94" t="str">
            <v>-</v>
          </cell>
          <cell r="BY94" t="str">
            <v>-</v>
          </cell>
          <cell r="CB94" t="str">
            <v>-</v>
          </cell>
          <cell r="CE94" t="str">
            <v>-</v>
          </cell>
          <cell r="CH94" t="str">
            <v>-</v>
          </cell>
          <cell r="CM94" t="str">
            <v>Merchandise Treasury (in nb of days)</v>
          </cell>
          <cell r="CO94">
            <v>-97670.479120711883</v>
          </cell>
          <cell r="CR94">
            <v>-53635.272659887072</v>
          </cell>
          <cell r="CU94">
            <v>-77826.134875344171</v>
          </cell>
          <cell r="CX94">
            <v>-75588.852999496143</v>
          </cell>
          <cell r="DA94">
            <v>-85655.104925177307</v>
          </cell>
          <cell r="DD94">
            <v>-97494.84561449883</v>
          </cell>
          <cell r="DI94" t="str">
            <v>Merchandise Treasury (in nb of days)</v>
          </cell>
          <cell r="DK94" t="str">
            <v>-</v>
          </cell>
          <cell r="DN94" t="str">
            <v>-</v>
          </cell>
          <cell r="DQ94" t="str">
            <v>-</v>
          </cell>
          <cell r="DT94" t="str">
            <v>-</v>
          </cell>
          <cell r="DW94" t="str">
            <v>-</v>
          </cell>
          <cell r="DZ94" t="str">
            <v>-</v>
          </cell>
        </row>
        <row r="209">
          <cell r="C209" t="str">
            <v>Taiwan</v>
          </cell>
          <cell r="D209" t="str">
            <v>Taiwan</v>
          </cell>
          <cell r="E209" t="str">
            <v>Taiwan</v>
          </cell>
          <cell r="F209" t="str">
            <v>Taiwan</v>
          </cell>
          <cell r="G209" t="str">
            <v>Taiwan</v>
          </cell>
          <cell r="H209" t="str">
            <v>Taiwan</v>
          </cell>
        </row>
        <row r="210">
          <cell r="C210" t="str">
            <v>Year in LC</v>
          </cell>
          <cell r="D210" t="str">
            <v>Year in LC</v>
          </cell>
          <cell r="E210" t="str">
            <v>Year in LC</v>
          </cell>
          <cell r="F210" t="str">
            <v>Year in LC</v>
          </cell>
          <cell r="G210" t="str">
            <v>Year in LC</v>
          </cell>
          <cell r="H210" t="str">
            <v>Year in LC</v>
          </cell>
        </row>
        <row r="211">
          <cell r="C211" t="str">
            <v>2005</v>
          </cell>
          <cell r="D211" t="str">
            <v>2006</v>
          </cell>
          <cell r="E211" t="str">
            <v>2007</v>
          </cell>
          <cell r="F211" t="str">
            <v>2008</v>
          </cell>
          <cell r="G211" t="str">
            <v>2009</v>
          </cell>
          <cell r="H211" t="str">
            <v>2010</v>
          </cell>
        </row>
        <row r="212">
          <cell r="C212" t="str">
            <v>Current Year Plan</v>
          </cell>
          <cell r="D212" t="str">
            <v>Current Year Plan</v>
          </cell>
          <cell r="E212" t="str">
            <v>Current Year Plan</v>
          </cell>
          <cell r="F212" t="str">
            <v>Current Year Plan</v>
          </cell>
          <cell r="G212" t="str">
            <v>Current Year Plan</v>
          </cell>
          <cell r="H212" t="str">
            <v>Current Year Plan</v>
          </cell>
        </row>
        <row r="214">
          <cell r="A214" t="str">
            <v>Number of stores</v>
          </cell>
          <cell r="B214" t="str">
            <v>Total Activity</v>
          </cell>
          <cell r="C214">
            <v>37</v>
          </cell>
          <cell r="D214">
            <v>47</v>
          </cell>
          <cell r="E214">
            <v>50</v>
          </cell>
          <cell r="F214">
            <v>55</v>
          </cell>
          <cell r="G214">
            <v>64</v>
          </cell>
          <cell r="H214">
            <v>73</v>
          </cell>
        </row>
        <row r="215">
          <cell r="A215" t="str">
            <v>Number of stores</v>
          </cell>
          <cell r="B215" t="str">
            <v>Total Hypermarkets</v>
          </cell>
          <cell r="C215">
            <v>37</v>
          </cell>
          <cell r="D215">
            <v>47</v>
          </cell>
          <cell r="E215">
            <v>50</v>
          </cell>
          <cell r="F215">
            <v>55</v>
          </cell>
          <cell r="G215">
            <v>64</v>
          </cell>
          <cell r="H215">
            <v>73</v>
          </cell>
        </row>
        <row r="216">
          <cell r="A216" t="str">
            <v>Number of stores</v>
          </cell>
          <cell r="B216" t="str">
            <v>Total Supermarkets</v>
          </cell>
          <cell r="C216" t="str">
            <v>-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</row>
        <row r="217">
          <cell r="A217" t="str">
            <v>Number of stores</v>
          </cell>
          <cell r="B217" t="str">
            <v>Total Hard Discount</v>
          </cell>
          <cell r="C217" t="str">
            <v>-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-</v>
          </cell>
          <cell r="H217" t="str">
            <v>-</v>
          </cell>
        </row>
        <row r="218">
          <cell r="A218" t="str">
            <v>Number of stores</v>
          </cell>
          <cell r="B218" t="str">
            <v>Total Convenience stores</v>
          </cell>
          <cell r="C218" t="str">
            <v>-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-</v>
          </cell>
          <cell r="H218" t="str">
            <v>-</v>
          </cell>
        </row>
        <row r="219">
          <cell r="A219" t="str">
            <v>Number of stores</v>
          </cell>
          <cell r="B219" t="str">
            <v>Total Cash and Carry</v>
          </cell>
          <cell r="C219" t="str">
            <v>-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-</v>
          </cell>
          <cell r="H219" t="str">
            <v>-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D3" t="str">
            <v>2007</v>
          </cell>
          <cell r="E3" t="str">
            <v>2008</v>
          </cell>
        </row>
        <row r="4">
          <cell r="D4" t="str">
            <v>Taiwan</v>
          </cell>
          <cell r="E4" t="str">
            <v>Taiwan</v>
          </cell>
        </row>
        <row r="5">
          <cell r="D5" t="str">
            <v>Total activity</v>
          </cell>
          <cell r="E5" t="str">
            <v>Total activity</v>
          </cell>
        </row>
        <row r="6">
          <cell r="D6" t="str">
            <v>Year in LC</v>
          </cell>
          <cell r="E6" t="str">
            <v>Year in LC</v>
          </cell>
        </row>
        <row r="7">
          <cell r="D7" t="str">
            <v>Current Year Plan</v>
          </cell>
          <cell r="E7" t="str">
            <v>Current Year Plan</v>
          </cell>
        </row>
        <row r="8">
          <cell r="C8" t="str">
            <v>Total Net Sales Quarter 1</v>
          </cell>
          <cell r="D8">
            <v>16200.700343</v>
          </cell>
          <cell r="E8">
            <v>16853.881239771425</v>
          </cell>
        </row>
        <row r="9">
          <cell r="C9" t="str">
            <v>Activity Contribution Quarter 1</v>
          </cell>
          <cell r="D9">
            <v>747.87599299999999</v>
          </cell>
          <cell r="E9">
            <v>711.80956519911501</v>
          </cell>
        </row>
        <row r="10">
          <cell r="C10" t="str">
            <v>EBIT before Goodwill Quarter 1</v>
          </cell>
          <cell r="D10">
            <v>744.54485199999999</v>
          </cell>
          <cell r="E10">
            <v>711.80956519911501</v>
          </cell>
        </row>
        <row r="11">
          <cell r="C11" t="str">
            <v>Group Share of Net Income Quarter 1</v>
          </cell>
          <cell r="D11">
            <v>288.97985899999998</v>
          </cell>
          <cell r="E11">
            <v>274.33824542170282</v>
          </cell>
        </row>
        <row r="13">
          <cell r="C13" t="str">
            <v>Total Net Sales Quarter 2</v>
          </cell>
          <cell r="D13">
            <v>13487.23810506</v>
          </cell>
          <cell r="E13">
            <v>14013.20574168332</v>
          </cell>
        </row>
        <row r="14">
          <cell r="C14" t="str">
            <v>Activity Contribution Quarter 2</v>
          </cell>
          <cell r="D14">
            <v>368.51934454999997</v>
          </cell>
          <cell r="E14">
            <v>447.2382938763954</v>
          </cell>
        </row>
        <row r="15">
          <cell r="C15" t="str">
            <v>EBIT before Goodwill Quarter 2</v>
          </cell>
          <cell r="D15">
            <v>349.73124354999993</v>
          </cell>
          <cell r="E15">
            <v>447.2382938763954</v>
          </cell>
        </row>
        <row r="16">
          <cell r="C16" t="str">
            <v>Group Share of Net Income Quarter 2</v>
          </cell>
          <cell r="D16">
            <v>120.92205654999995</v>
          </cell>
          <cell r="E16">
            <v>152.55536121682945</v>
          </cell>
        </row>
        <row r="18">
          <cell r="C18" t="str">
            <v>Total Net Sales Quarter 3</v>
          </cell>
          <cell r="D18">
            <v>17085.787172146192</v>
          </cell>
          <cell r="E18">
            <v>17568.484677981676</v>
          </cell>
        </row>
        <row r="19">
          <cell r="C19" t="str">
            <v>Activity Contribution Quarter 3</v>
          </cell>
          <cell r="D19">
            <v>873.80574801844432</v>
          </cell>
          <cell r="E19">
            <v>966.2450417171234</v>
          </cell>
        </row>
        <row r="20">
          <cell r="C20" t="str">
            <v>EBIT before Goodwill Quarter 3</v>
          </cell>
          <cell r="D20">
            <v>865.34799610077869</v>
          </cell>
          <cell r="E20">
            <v>966.2450417171234</v>
          </cell>
        </row>
        <row r="21">
          <cell r="C21" t="str">
            <v>Group Share of Net Income Quarter 3</v>
          </cell>
          <cell r="D21">
            <v>334.90724867320347</v>
          </cell>
          <cell r="E21">
            <v>389.19293183932496</v>
          </cell>
        </row>
        <row r="23">
          <cell r="C23" t="str">
            <v>Total Net Sales Quarter 4</v>
          </cell>
          <cell r="D23">
            <v>14101.252042029506</v>
          </cell>
          <cell r="E23">
            <v>15063.892212199093</v>
          </cell>
        </row>
        <row r="24">
          <cell r="C24" t="str">
            <v>Activity Contribution Quarter 4</v>
          </cell>
          <cell r="D24">
            <v>465.73202805206631</v>
          </cell>
          <cell r="E24">
            <v>647.4984085874903</v>
          </cell>
        </row>
        <row r="25">
          <cell r="C25" t="str">
            <v>EBIT before Goodwill Quarter 4</v>
          </cell>
          <cell r="D25">
            <v>462.20697313440087</v>
          </cell>
          <cell r="E25">
            <v>647.4984085874903</v>
          </cell>
        </row>
        <row r="26">
          <cell r="C26" t="str">
            <v>Group Share of Net Income Quarter 4</v>
          </cell>
          <cell r="D26">
            <v>156.41646497954167</v>
          </cell>
          <cell r="E26">
            <v>243.76733828138862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 CUMUL"/>
      <sheetName val="EXPLOITATION"/>
      <sheetName val="ACTIVITE"/>
      <sheetName val="DONNEES_CUMUL"/>
    </sheetNames>
    <sheetDataSet>
      <sheetData sheetId="0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3">
          <cell r="C3">
            <v>19.57807492361415</v>
          </cell>
          <cell r="D3">
            <v>18.249223332998568</v>
          </cell>
          <cell r="E3">
            <v>19.673536428954961</v>
          </cell>
          <cell r="F3">
            <v>18.123698208643148</v>
          </cell>
          <cell r="G3">
            <v>19.252243316606126</v>
          </cell>
          <cell r="H3">
            <v>20.168051582635897</v>
          </cell>
          <cell r="I3">
            <v>19.060529966576691</v>
          </cell>
          <cell r="J3">
            <v>19.80178185508375</v>
          </cell>
          <cell r="K3">
            <v>20.501974785758669</v>
          </cell>
          <cell r="L3">
            <v>19.335193630281779</v>
          </cell>
          <cell r="M3">
            <v>19.480677119020086</v>
          </cell>
          <cell r="N3">
            <v>21.737171787792661</v>
          </cell>
        </row>
        <row r="4">
          <cell r="C4">
            <v>19.57807492361415</v>
          </cell>
          <cell r="D4">
            <v>37.827298256612721</v>
          </cell>
          <cell r="E4">
            <v>57.500834685567682</v>
          </cell>
          <cell r="F4">
            <v>75.62453289421083</v>
          </cell>
          <cell r="G4">
            <v>94.876776210816956</v>
          </cell>
          <cell r="H4">
            <v>115.04482779345285</v>
          </cell>
          <cell r="I4">
            <v>134.10535776002953</v>
          </cell>
          <cell r="J4">
            <v>153.90713961511329</v>
          </cell>
          <cell r="K4">
            <v>174.40911440087197</v>
          </cell>
          <cell r="L4">
            <v>193.74430803115376</v>
          </cell>
          <cell r="M4">
            <v>213.22498515017384</v>
          </cell>
          <cell r="N4">
            <v>234.96215693796648</v>
          </cell>
        </row>
        <row r="5">
          <cell r="C5">
            <v>-4.1603748894070511</v>
          </cell>
          <cell r="D5">
            <v>-3.8982499673414241</v>
          </cell>
          <cell r="E5">
            <v>-4.1782239599105466</v>
          </cell>
          <cell r="F5">
            <v>-4.0313286644976669</v>
          </cell>
          <cell r="G5">
            <v>-4.1425623378845984</v>
          </cell>
          <cell r="H5">
            <v>-4.00632214263908</v>
          </cell>
          <cell r="I5">
            <v>-3.9784958991924695</v>
          </cell>
          <cell r="J5">
            <v>-3.9744024233669335</v>
          </cell>
          <cell r="K5">
            <v>-3.8172662413012759</v>
          </cell>
          <cell r="L5">
            <v>-3.9859902579351045</v>
          </cell>
          <cell r="M5">
            <v>-3.9827535615099525</v>
          </cell>
          <cell r="N5">
            <v>-4.2392029760940249</v>
          </cell>
        </row>
        <row r="6">
          <cell r="C6">
            <v>-4.1603748894070511</v>
          </cell>
          <cell r="D6">
            <v>-8.0586248567484748</v>
          </cell>
          <cell r="E6">
            <v>-12.236848816659021</v>
          </cell>
          <cell r="F6">
            <v>-16.268177481156687</v>
          </cell>
          <cell r="G6">
            <v>-20.410739819041286</v>
          </cell>
          <cell r="H6">
            <v>-24.417061961680368</v>
          </cell>
          <cell r="I6">
            <v>-28.395557860872838</v>
          </cell>
          <cell r="J6">
            <v>-32.369960284239774</v>
          </cell>
          <cell r="K6">
            <v>-36.18722652554105</v>
          </cell>
          <cell r="L6">
            <v>-40.173216783476157</v>
          </cell>
          <cell r="M6">
            <v>-44.155970344986109</v>
          </cell>
          <cell r="N6">
            <v>-48.395173321080136</v>
          </cell>
        </row>
        <row r="7">
          <cell r="C7">
            <v>-8.1286168437923294</v>
          </cell>
          <cell r="D7">
            <v>-7.3964400874354368</v>
          </cell>
          <cell r="E7">
            <v>-7.5630648340180997</v>
          </cell>
          <cell r="F7">
            <v>-7.2489873817062502</v>
          </cell>
          <cell r="G7">
            <v>-7.1145265865114613</v>
          </cell>
          <cell r="H7">
            <v>-7.194754831348285</v>
          </cell>
          <cell r="I7">
            <v>-7.0965431390819553</v>
          </cell>
          <cell r="J7">
            <v>-7.2026924031554156</v>
          </cell>
          <cell r="K7">
            <v>-7.053189350027024</v>
          </cell>
          <cell r="L7">
            <v>-7.7948742135574456</v>
          </cell>
          <cell r="M7">
            <v>-7.3099571300590735</v>
          </cell>
          <cell r="N7">
            <v>-7.4707229019512669</v>
          </cell>
        </row>
        <row r="8">
          <cell r="C8">
            <v>-8.1286168437923294</v>
          </cell>
          <cell r="D8">
            <v>-15.525056931227766</v>
          </cell>
          <cell r="E8">
            <v>-23.088121765245866</v>
          </cell>
          <cell r="F8">
            <v>-30.337109146952116</v>
          </cell>
          <cell r="G8">
            <v>-37.451635733463576</v>
          </cell>
          <cell r="H8">
            <v>-44.64639056481186</v>
          </cell>
          <cell r="I8">
            <v>-51.742933703893812</v>
          </cell>
          <cell r="J8">
            <v>-58.945626107049229</v>
          </cell>
          <cell r="K8">
            <v>-65.998815457076248</v>
          </cell>
          <cell r="L8">
            <v>-73.793689670633697</v>
          </cell>
          <cell r="M8">
            <v>-81.103646800692772</v>
          </cell>
          <cell r="N8">
            <v>-88.574369702644034</v>
          </cell>
        </row>
        <row r="9">
          <cell r="C9">
            <v>7.2437559646007337</v>
          </cell>
          <cell r="D9">
            <v>6.9006298349909976</v>
          </cell>
          <cell r="E9">
            <v>7.8788812517956064</v>
          </cell>
          <cell r="F9">
            <v>8.7215157792085254</v>
          </cell>
          <cell r="G9">
            <v>7.9417880089793522</v>
          </cell>
          <cell r="H9">
            <v>8.9178854154178264</v>
          </cell>
          <cell r="I9">
            <v>7.8967817650715562</v>
          </cell>
          <cell r="J9">
            <v>8.5359778653306915</v>
          </cell>
          <cell r="K9">
            <v>9.5428100311996555</v>
          </cell>
          <cell r="L9">
            <v>7.4656199955585167</v>
          </cell>
          <cell r="M9">
            <v>7.9236999242203483</v>
          </cell>
          <cell r="N9">
            <v>9.7629791465166598</v>
          </cell>
        </row>
        <row r="10">
          <cell r="C10">
            <v>7.2437559646007337</v>
          </cell>
          <cell r="D10">
            <v>14.144385799591731</v>
          </cell>
          <cell r="E10">
            <v>22.023267051387336</v>
          </cell>
          <cell r="F10">
            <v>30.744782830595859</v>
          </cell>
          <cell r="G10">
            <v>38.686570839575211</v>
          </cell>
          <cell r="H10">
            <v>47.604456254993039</v>
          </cell>
          <cell r="I10">
            <v>55.501238020064598</v>
          </cell>
          <cell r="J10">
            <v>64.037215885395284</v>
          </cell>
          <cell r="K10">
            <v>73.580025916594934</v>
          </cell>
          <cell r="L10">
            <v>81.045645912153446</v>
          </cell>
          <cell r="M10">
            <v>88.96934583637379</v>
          </cell>
          <cell r="N10">
            <v>98.732324982890447</v>
          </cell>
        </row>
        <row r="11">
          <cell r="C11">
            <v>-2.5915614505741797</v>
          </cell>
          <cell r="D11">
            <v>-3.0760481661897638</v>
          </cell>
          <cell r="E11">
            <v>-3.6341331202333715</v>
          </cell>
          <cell r="F11">
            <v>-3.7039264905451859</v>
          </cell>
          <cell r="G11">
            <v>-3.1707483617488781</v>
          </cell>
          <cell r="H11">
            <v>-3.6020852305524347</v>
          </cell>
          <cell r="I11">
            <v>-3.7601570593849845</v>
          </cell>
          <cell r="J11">
            <v>-3.4557787154736506</v>
          </cell>
          <cell r="K11">
            <v>-3.4480395467773022</v>
          </cell>
          <cell r="L11">
            <v>-3.8504112865556737</v>
          </cell>
          <cell r="M11">
            <v>-4.0319416100927503</v>
          </cell>
          <cell r="N11">
            <v>-4.4583000000000004</v>
          </cell>
        </row>
        <row r="12">
          <cell r="C12">
            <v>-2.5915614505741797</v>
          </cell>
          <cell r="D12">
            <v>-5.6676096167639436</v>
          </cell>
          <cell r="E12">
            <v>-9.3017427369973156</v>
          </cell>
          <cell r="F12">
            <v>-13.005669227542501</v>
          </cell>
          <cell r="G12">
            <v>-16.176417589291379</v>
          </cell>
          <cell r="H12">
            <v>-19.778502819843816</v>
          </cell>
          <cell r="I12">
            <v>-23.538659879228799</v>
          </cell>
          <cell r="J12">
            <v>-26.994438594702451</v>
          </cell>
          <cell r="K12">
            <v>-30.442478141479754</v>
          </cell>
          <cell r="L12">
            <v>-34.29288942803543</v>
          </cell>
          <cell r="M12">
            <v>-38.324831038128181</v>
          </cell>
          <cell r="N12">
            <v>-42.783131038128182</v>
          </cell>
        </row>
        <row r="14">
          <cell r="C14">
            <v>18.185006079584468</v>
          </cell>
          <cell r="D14">
            <v>16.691901851803284</v>
          </cell>
          <cell r="E14">
            <v>18.897032979984445</v>
          </cell>
          <cell r="F14">
            <v>16.242204915736355</v>
          </cell>
          <cell r="G14">
            <v>16.977604834430714</v>
          </cell>
          <cell r="H14">
            <v>17.359399999669456</v>
          </cell>
          <cell r="I14">
            <v>17.344200330727688</v>
          </cell>
          <cell r="J14">
            <v>17.626297357954268</v>
          </cell>
          <cell r="K14">
            <v>18.34279811862389</v>
          </cell>
          <cell r="L14">
            <v>17.734895870349895</v>
          </cell>
          <cell r="M14">
            <v>17.312598414135202</v>
          </cell>
          <cell r="N14">
            <v>19.951896035659956</v>
          </cell>
        </row>
        <row r="15">
          <cell r="C15">
            <v>18.185006079584468</v>
          </cell>
          <cell r="D15">
            <v>34.876907931387748</v>
          </cell>
          <cell r="E15">
            <v>53.773940911372193</v>
          </cell>
          <cell r="F15">
            <v>70.016145827108545</v>
          </cell>
          <cell r="G15">
            <v>86.993750661539252</v>
          </cell>
          <cell r="H15">
            <v>104.3531506612087</v>
          </cell>
          <cell r="I15">
            <v>121.69735099193639</v>
          </cell>
          <cell r="J15">
            <v>139.32364834989065</v>
          </cell>
          <cell r="K15">
            <v>157.66644646851455</v>
          </cell>
          <cell r="L15">
            <v>175.40134233886445</v>
          </cell>
          <cell r="M15">
            <v>192.71394075299966</v>
          </cell>
          <cell r="N15">
            <v>212.66583678865962</v>
          </cell>
        </row>
        <row r="16">
          <cell r="C16">
            <v>-4.0780000000000003</v>
          </cell>
          <cell r="D16">
            <v>-3.6777000000000002</v>
          </cell>
          <cell r="E16">
            <v>-3.9707000000000003</v>
          </cell>
          <cell r="F16">
            <v>-4.1051000000000002</v>
          </cell>
          <cell r="G16">
            <v>-4.0461999999999998</v>
          </cell>
          <cell r="H16">
            <v>-3.8586</v>
          </cell>
          <cell r="I16">
            <v>-3.9694000000000003</v>
          </cell>
          <cell r="J16">
            <v>-4.1186000000000007</v>
          </cell>
          <cell r="K16">
            <v>-3.9260999999999999</v>
          </cell>
          <cell r="L16">
            <v>-3.8353999999999995</v>
          </cell>
          <cell r="M16">
            <v>-3.6321999999999997</v>
          </cell>
          <cell r="N16">
            <v>-4.2021999999999995</v>
          </cell>
        </row>
        <row r="17">
          <cell r="C17">
            <v>-4.0780000000000003</v>
          </cell>
          <cell r="D17">
            <v>-7.7557000000000009</v>
          </cell>
          <cell r="E17">
            <v>-11.726400000000002</v>
          </cell>
          <cell r="F17">
            <v>-15.831500000000002</v>
          </cell>
          <cell r="G17">
            <v>-19.877700000000001</v>
          </cell>
          <cell r="H17">
            <v>-23.7363</v>
          </cell>
          <cell r="I17">
            <v>-27.7057</v>
          </cell>
          <cell r="J17">
            <v>-31.824300000000001</v>
          </cell>
          <cell r="K17">
            <v>-35.750399999999999</v>
          </cell>
          <cell r="L17">
            <v>-39.585799999999999</v>
          </cell>
          <cell r="M17">
            <v>-43.217999999999996</v>
          </cell>
          <cell r="N17">
            <v>-47.420199999999994</v>
          </cell>
        </row>
        <row r="18">
          <cell r="C18">
            <v>-7.0831397760000012</v>
          </cell>
          <cell r="D18">
            <v>-6.7031030171999992</v>
          </cell>
          <cell r="E18">
            <v>-5.7781873281333329</v>
          </cell>
          <cell r="F18">
            <v>-5.7421470001999992</v>
          </cell>
          <cell r="G18">
            <v>-5.9334554320333339</v>
          </cell>
          <cell r="H18">
            <v>-6.6368539897299872</v>
          </cell>
          <cell r="I18">
            <v>-6.5696247334615379</v>
          </cell>
          <cell r="J18">
            <v>-6.3084914788994304</v>
          </cell>
          <cell r="K18">
            <v>-6.8418634365241395</v>
          </cell>
          <cell r="L18">
            <v>-9.5150033992171146</v>
          </cell>
          <cell r="M18">
            <v>-6.6243119517726319</v>
          </cell>
          <cell r="N18">
            <v>-7.2941969755158622</v>
          </cell>
        </row>
        <row r="19">
          <cell r="C19">
            <v>-7.0831397760000012</v>
          </cell>
          <cell r="D19">
            <v>-13.7862427932</v>
          </cell>
          <cell r="E19">
            <v>-19.564430121333331</v>
          </cell>
          <cell r="F19">
            <v>-25.30657712153333</v>
          </cell>
          <cell r="G19">
            <v>-31.240032553566664</v>
          </cell>
          <cell r="H19">
            <v>-37.876886543296649</v>
          </cell>
          <cell r="I19">
            <v>-44.446511276758187</v>
          </cell>
          <cell r="J19">
            <v>-50.755002755657614</v>
          </cell>
          <cell r="K19">
            <v>-57.59686619218175</v>
          </cell>
          <cell r="L19">
            <v>-67.111869591398857</v>
          </cell>
          <cell r="M19">
            <v>-73.736181543171483</v>
          </cell>
          <cell r="N19">
            <v>-81.030378518687343</v>
          </cell>
        </row>
        <row r="20">
          <cell r="C20">
            <v>6.9546000000000001</v>
          </cell>
          <cell r="D20">
            <v>5.9864969828000012</v>
          </cell>
          <cell r="E20">
            <v>9.1098426718666623</v>
          </cell>
          <cell r="F20">
            <v>8.0374529997999993</v>
          </cell>
          <cell r="G20">
            <v>7.0520445679666643</v>
          </cell>
          <cell r="H20">
            <v>7.4279460102700137</v>
          </cell>
          <cell r="I20">
            <v>6.765075266538461</v>
          </cell>
          <cell r="J20">
            <v>7.155408521100572</v>
          </cell>
          <cell r="K20">
            <v>7.5320365634758666</v>
          </cell>
          <cell r="L20">
            <v>4.3369966007828857</v>
          </cell>
          <cell r="M20">
            <v>6.9768880482273641</v>
          </cell>
          <cell r="N20">
            <v>8.666908024484135</v>
          </cell>
        </row>
        <row r="21">
          <cell r="C21">
            <v>6.9546000000000001</v>
          </cell>
          <cell r="D21">
            <v>12.941096982800001</v>
          </cell>
          <cell r="E21">
            <v>22.050939654666664</v>
          </cell>
          <cell r="F21">
            <v>30.088392654466663</v>
          </cell>
          <cell r="G21">
            <v>37.140437222433327</v>
          </cell>
          <cell r="H21">
            <v>44.56838323270334</v>
          </cell>
          <cell r="I21">
            <v>51.3334584992418</v>
          </cell>
          <cell r="J21">
            <v>58.488867020342369</v>
          </cell>
          <cell r="K21">
            <v>66.020903583818239</v>
          </cell>
          <cell r="L21">
            <v>70.357900184601121</v>
          </cell>
          <cell r="M21">
            <v>77.334788232828487</v>
          </cell>
          <cell r="N21">
            <v>86.001696257312616</v>
          </cell>
        </row>
        <row r="22">
          <cell r="C22">
            <v>-2.2069999999999999</v>
          </cell>
          <cell r="D22">
            <v>-2.9706000000000001</v>
          </cell>
          <cell r="E22">
            <v>-3.3153699999999997</v>
          </cell>
          <cell r="F22">
            <v>-4.1452</v>
          </cell>
          <cell r="G22">
            <v>-3.3168000000000002</v>
          </cell>
          <cell r="H22">
            <v>-3.0799000000000003</v>
          </cell>
          <cell r="I22">
            <v>-3.2805</v>
          </cell>
          <cell r="J22">
            <v>-3.0564</v>
          </cell>
          <cell r="K22">
            <v>-3.5032999999999999</v>
          </cell>
          <cell r="L22">
            <v>-3.4640999999999997</v>
          </cell>
          <cell r="M22">
            <v>-3.5814000000000004</v>
          </cell>
          <cell r="N22">
            <v>-4.8112999999999992</v>
          </cell>
        </row>
        <row r="23">
          <cell r="C23">
            <v>-2.2069999999999999</v>
          </cell>
          <cell r="D23">
            <v>-5.1776</v>
          </cell>
          <cell r="E23">
            <v>-8.4929699999999997</v>
          </cell>
          <cell r="F23">
            <v>-12.638169999999999</v>
          </cell>
          <cell r="G23">
            <v>-15.954969999999999</v>
          </cell>
          <cell r="H23">
            <v>-19.034869999999998</v>
          </cell>
          <cell r="I23">
            <v>-22.315369999999998</v>
          </cell>
          <cell r="J23">
            <v>-25.371769999999998</v>
          </cell>
          <cell r="K23">
            <v>-28.875069999999997</v>
          </cell>
          <cell r="L23">
            <v>-32.339169999999996</v>
          </cell>
          <cell r="M23">
            <v>-35.920569999999998</v>
          </cell>
          <cell r="N23">
            <v>-40.731870000000001</v>
          </cell>
        </row>
        <row r="25">
          <cell r="C25">
            <v>10.97284726700194</v>
          </cell>
          <cell r="D25">
            <v>10.66999864599175</v>
          </cell>
          <cell r="E25">
            <v>11.212021388149573</v>
          </cell>
          <cell r="F25">
            <v>11.09416578087216</v>
          </cell>
          <cell r="G25">
            <v>11.505879865076377</v>
          </cell>
          <cell r="H25">
            <v>11.646536836253915</v>
          </cell>
          <cell r="I25">
            <v>12.025298423057524</v>
          </cell>
          <cell r="J25">
            <v>12.183576308854233</v>
          </cell>
          <cell r="K25">
            <v>12.639491067516586</v>
          </cell>
          <cell r="L25">
            <v>13.502867708165692</v>
          </cell>
          <cell r="M25">
            <v>13.831106394358414</v>
          </cell>
          <cell r="N25">
            <v>14.189974377278606</v>
          </cell>
        </row>
        <row r="26">
          <cell r="C26">
            <v>10.97284726700194</v>
          </cell>
          <cell r="D26">
            <v>21.642845912993693</v>
          </cell>
          <cell r="E26">
            <v>32.854867301143265</v>
          </cell>
          <cell r="F26">
            <v>43.949033082015426</v>
          </cell>
          <cell r="G26">
            <v>55.454912947091799</v>
          </cell>
          <cell r="H26">
            <v>67.101449783345714</v>
          </cell>
          <cell r="I26">
            <v>79.126748206403235</v>
          </cell>
          <cell r="J26">
            <v>91.310324515257463</v>
          </cell>
          <cell r="K26">
            <v>103.94981558277405</v>
          </cell>
          <cell r="L26">
            <v>117.45268329093975</v>
          </cell>
          <cell r="M26">
            <v>131.28378968529816</v>
          </cell>
          <cell r="N26">
            <v>145.47376406257678</v>
          </cell>
        </row>
        <row r="27">
          <cell r="C27">
            <v>-3.4800445225197754</v>
          </cell>
          <cell r="D27">
            <v>-3.281680795927485</v>
          </cell>
          <cell r="E27">
            <v>-3.1944569452318214</v>
          </cell>
          <cell r="F27">
            <v>-3.0635400615361577</v>
          </cell>
          <cell r="G27">
            <v>-3.0296065783405166</v>
          </cell>
          <cell r="H27">
            <v>-2.9721510986448307</v>
          </cell>
          <cell r="I27">
            <v>-2.7230740648653931</v>
          </cell>
          <cell r="J27">
            <v>-2.6032560427932663</v>
          </cell>
          <cell r="K27">
            <v>-2.5547158492105972</v>
          </cell>
          <cell r="L27">
            <v>-2.3992296357409222</v>
          </cell>
          <cell r="M27">
            <v>-2.3552532687496055</v>
          </cell>
          <cell r="N27">
            <v>-0.80667296316693615</v>
          </cell>
        </row>
        <row r="28">
          <cell r="C28">
            <v>-3.4800445225197754</v>
          </cell>
          <cell r="D28">
            <v>-6.7617253184472599</v>
          </cell>
          <cell r="E28">
            <v>-9.9561822636790822</v>
          </cell>
          <cell r="F28">
            <v>-13.019722325215239</v>
          </cell>
          <cell r="G28">
            <v>-16.049328903555757</v>
          </cell>
          <cell r="H28">
            <v>-19.021480002200587</v>
          </cell>
          <cell r="I28">
            <v>-21.74455406706598</v>
          </cell>
          <cell r="J28">
            <v>-24.347810109859246</v>
          </cell>
          <cell r="K28">
            <v>-26.902525959069845</v>
          </cell>
          <cell r="L28">
            <v>-29.301755594810768</v>
          </cell>
          <cell r="M28">
            <v>-31.657008863560375</v>
          </cell>
          <cell r="N28">
            <v>-32.46368182672731</v>
          </cell>
        </row>
        <row r="29">
          <cell r="C29">
            <v>-3.5918812353539029</v>
          </cell>
          <cell r="D29">
            <v>-3.553549839812741</v>
          </cell>
          <cell r="E29">
            <v>-3.694826378029052</v>
          </cell>
          <cell r="F29">
            <v>-3.6056738229515268</v>
          </cell>
          <cell r="G29">
            <v>-3.6472471299718712</v>
          </cell>
          <cell r="H29">
            <v>-3.6656192568758708</v>
          </cell>
          <cell r="I29">
            <v>-3.5087850913112133</v>
          </cell>
          <cell r="J29">
            <v>-3.2797878411411157</v>
          </cell>
          <cell r="K29">
            <v>-3.5141795045252708</v>
          </cell>
          <cell r="L29">
            <v>-3.4997315451580135</v>
          </cell>
          <cell r="M29">
            <v>-3.483564195523833</v>
          </cell>
          <cell r="N29">
            <v>-3.718100934144732</v>
          </cell>
        </row>
        <row r="30">
          <cell r="C30">
            <v>-3.5918812353539029</v>
          </cell>
          <cell r="D30">
            <v>-7.1454310751666439</v>
          </cell>
          <cell r="E30">
            <v>-10.840257453195695</v>
          </cell>
          <cell r="F30">
            <v>-14.445931276147222</v>
          </cell>
          <cell r="G30">
            <v>-18.093178406119094</v>
          </cell>
          <cell r="H30">
            <v>-21.758797662994965</v>
          </cell>
          <cell r="I30">
            <v>-25.267582754306179</v>
          </cell>
          <cell r="J30">
            <v>-28.547370595447294</v>
          </cell>
          <cell r="K30">
            <v>-32.061550099972564</v>
          </cell>
          <cell r="L30">
            <v>-35.561281645130578</v>
          </cell>
          <cell r="M30">
            <v>-39.044845840654411</v>
          </cell>
          <cell r="N30">
            <v>-42.76294677479914</v>
          </cell>
        </row>
        <row r="31">
          <cell r="C31">
            <v>3.8688155641333579</v>
          </cell>
          <cell r="D31">
            <v>3.8032635044754364</v>
          </cell>
          <cell r="E31">
            <v>4.2906252233726168</v>
          </cell>
          <cell r="F31">
            <v>4.3885453175092337</v>
          </cell>
          <cell r="G31">
            <v>4.7985957943635231</v>
          </cell>
          <cell r="H31">
            <v>4.9759900836985791</v>
          </cell>
          <cell r="I31">
            <v>5.7607569114620087</v>
          </cell>
          <cell r="J31">
            <v>6.2683260518857633</v>
          </cell>
          <cell r="K31">
            <v>6.5383893475479322</v>
          </cell>
          <cell r="L31">
            <v>7.57026495008797</v>
          </cell>
          <cell r="M31">
            <v>7.9589713125677397</v>
          </cell>
          <cell r="N31">
            <v>9.6315873934461607</v>
          </cell>
        </row>
        <row r="32">
          <cell r="C32">
            <v>3.8688155641333579</v>
          </cell>
          <cell r="D32">
            <v>7.6720790686087943</v>
          </cell>
          <cell r="E32">
            <v>11.96270429198141</v>
          </cell>
          <cell r="F32">
            <v>16.351249609490644</v>
          </cell>
          <cell r="G32">
            <v>21.149845403854165</v>
          </cell>
          <cell r="H32">
            <v>26.125835487552745</v>
          </cell>
          <cell r="I32">
            <v>31.886592399014752</v>
          </cell>
          <cell r="J32">
            <v>38.154918450900517</v>
          </cell>
          <cell r="K32">
            <v>44.693307798448451</v>
          </cell>
          <cell r="L32">
            <v>52.263572748536419</v>
          </cell>
          <cell r="M32">
            <v>60.222544061104159</v>
          </cell>
          <cell r="N32">
            <v>69.854131454550327</v>
          </cell>
        </row>
        <row r="33">
          <cell r="C33">
            <v>-0.73429925002631746</v>
          </cell>
          <cell r="D33">
            <v>-0.6890865086069482</v>
          </cell>
          <cell r="E33">
            <v>-0.75983666833979779</v>
          </cell>
          <cell r="F33">
            <v>-0.76991421589019815</v>
          </cell>
          <cell r="G33">
            <v>-0.82154336083521118</v>
          </cell>
          <cell r="H33">
            <v>-0.79166419046852021</v>
          </cell>
          <cell r="I33">
            <v>-0.80536853404237119</v>
          </cell>
          <cell r="J33">
            <v>-0.84779847833822175</v>
          </cell>
          <cell r="K33">
            <v>-0.80227734265605755</v>
          </cell>
          <cell r="L33">
            <v>-0.88331496212240568</v>
          </cell>
          <cell r="M33">
            <v>-0.84508208848321031</v>
          </cell>
          <cell r="N33">
            <v>-1.0478234001907396</v>
          </cell>
        </row>
        <row r="34">
          <cell r="C34">
            <v>-0.73429925002631746</v>
          </cell>
          <cell r="D34">
            <v>-1.4233857586332657</v>
          </cell>
          <cell r="E34">
            <v>-2.1832224269730633</v>
          </cell>
          <cell r="F34">
            <v>-2.9531366428632615</v>
          </cell>
          <cell r="G34">
            <v>-3.7746800036984727</v>
          </cell>
          <cell r="H34">
            <v>-4.5663441941669927</v>
          </cell>
          <cell r="I34">
            <v>-5.3717127282093635</v>
          </cell>
          <cell r="J34">
            <v>-6.219511206547585</v>
          </cell>
          <cell r="K34">
            <v>-7.0217885492036425</v>
          </cell>
          <cell r="L34">
            <v>-7.9051035113260486</v>
          </cell>
          <cell r="M34">
            <v>-8.7501855998092584</v>
          </cell>
          <cell r="N34">
            <v>-9.7980089999999986</v>
          </cell>
        </row>
        <row r="36">
          <cell r="C36">
            <v>9.3573343400000013</v>
          </cell>
          <cell r="D36">
            <v>9.7095500399999999</v>
          </cell>
          <cell r="E36">
            <v>10.508220909999999</v>
          </cell>
          <cell r="F36">
            <v>10.246732399999999</v>
          </cell>
          <cell r="G36">
            <v>9.547046390000002</v>
          </cell>
          <cell r="H36">
            <v>9.6983003100000005</v>
          </cell>
          <cell r="I36">
            <v>9.9877071699999984</v>
          </cell>
          <cell r="J36">
            <v>10.206759959999999</v>
          </cell>
          <cell r="K36">
            <v>10.216065909999999</v>
          </cell>
          <cell r="L36">
            <v>10.94659186</v>
          </cell>
          <cell r="M36">
            <v>11.48469283</v>
          </cell>
          <cell r="N36">
            <v>10.52498696</v>
          </cell>
        </row>
        <row r="37">
          <cell r="C37">
            <v>9.3573343400000013</v>
          </cell>
          <cell r="D37">
            <v>19.066884380000001</v>
          </cell>
          <cell r="E37">
            <v>29.57510529</v>
          </cell>
          <cell r="F37">
            <v>39.821837689999995</v>
          </cell>
          <cell r="G37">
            <v>49.368884080000001</v>
          </cell>
          <cell r="H37">
            <v>59.067184390000001</v>
          </cell>
          <cell r="I37">
            <v>69.054891560000002</v>
          </cell>
          <cell r="J37">
            <v>79.261651520000001</v>
          </cell>
          <cell r="K37">
            <v>89.477717429999998</v>
          </cell>
          <cell r="L37">
            <v>100.42430929</v>
          </cell>
          <cell r="M37">
            <v>111.90900212</v>
          </cell>
          <cell r="N37">
            <v>122.43398908</v>
          </cell>
        </row>
        <row r="38">
          <cell r="C38">
            <v>-1.2843547</v>
          </cell>
          <cell r="D38">
            <v>-1.2062808</v>
          </cell>
          <cell r="E38">
            <v>-1.9162406199999995</v>
          </cell>
          <cell r="F38">
            <v>-1.6061511400000004</v>
          </cell>
          <cell r="G38">
            <v>-2.05204268</v>
          </cell>
          <cell r="H38">
            <v>-1.5412506199999993</v>
          </cell>
          <cell r="I38">
            <v>-1.9007952100000001</v>
          </cell>
          <cell r="J38">
            <v>-2.1713764699999993</v>
          </cell>
          <cell r="K38">
            <v>-1.8161822400000001</v>
          </cell>
          <cell r="L38">
            <v>-2.2541204600000002</v>
          </cell>
          <cell r="M38">
            <v>-1.7526328099999999</v>
          </cell>
          <cell r="N38">
            <v>-2.38930979</v>
          </cell>
        </row>
        <row r="39">
          <cell r="C39">
            <v>-1.2843547</v>
          </cell>
          <cell r="D39">
            <v>-2.4906354999999998</v>
          </cell>
          <cell r="E39">
            <v>-4.4068761199999997</v>
          </cell>
          <cell r="F39">
            <v>-6.0130272600000003</v>
          </cell>
          <cell r="G39">
            <v>-8.0650699400000008</v>
          </cell>
          <cell r="H39">
            <v>-9.6063205600000003</v>
          </cell>
          <cell r="I39">
            <v>-11.50711577</v>
          </cell>
          <cell r="J39">
            <v>-13.678492240000001</v>
          </cell>
          <cell r="K39">
            <v>-15.49467448</v>
          </cell>
          <cell r="L39">
            <v>-17.74879494</v>
          </cell>
          <cell r="M39">
            <v>-19.501427750000001</v>
          </cell>
          <cell r="N39">
            <v>-21.89073754</v>
          </cell>
        </row>
        <row r="40">
          <cell r="C40">
            <v>-2.9589166699999998</v>
          </cell>
          <cell r="D40">
            <v>-2.8481171200000004</v>
          </cell>
          <cell r="E40">
            <v>-3.0936518999999998</v>
          </cell>
          <cell r="F40">
            <v>-3.0868928899999997</v>
          </cell>
          <cell r="G40">
            <v>-3.3296745899999998</v>
          </cell>
          <cell r="H40">
            <v>-2.9597769</v>
          </cell>
          <cell r="I40">
            <v>-3.21713564</v>
          </cell>
          <cell r="J40">
            <v>-2.8944504899999997</v>
          </cell>
          <cell r="K40">
            <v>-2.7844470399999999</v>
          </cell>
          <cell r="L40">
            <v>-3.54364378</v>
          </cell>
          <cell r="M40">
            <v>-3.6649070699999999</v>
          </cell>
          <cell r="N40">
            <v>-2.3978264</v>
          </cell>
        </row>
        <row r="41">
          <cell r="C41">
            <v>-2.9589166699999998</v>
          </cell>
          <cell r="D41">
            <v>-5.8070337900000002</v>
          </cell>
          <cell r="E41">
            <v>-8.9006856899999995</v>
          </cell>
          <cell r="F41">
            <v>-11.987578579999999</v>
          </cell>
          <cell r="G41">
            <v>-15.317253169999999</v>
          </cell>
          <cell r="H41">
            <v>-18.277030069999999</v>
          </cell>
          <cell r="I41">
            <v>-21.494165709999997</v>
          </cell>
          <cell r="J41">
            <v>-24.388616199999998</v>
          </cell>
          <cell r="K41">
            <v>-27.173063239999998</v>
          </cell>
          <cell r="L41">
            <v>-30.716707019999998</v>
          </cell>
          <cell r="M41">
            <v>-34.381614089999999</v>
          </cell>
          <cell r="N41">
            <v>-36.779440489999999</v>
          </cell>
        </row>
        <row r="42">
          <cell r="C42">
            <v>5.086614390000002</v>
          </cell>
          <cell r="D42">
            <v>5.6300806499999991</v>
          </cell>
          <cell r="E42">
            <v>5.4700683999999997</v>
          </cell>
          <cell r="F42">
            <v>5.5250130299999993</v>
          </cell>
          <cell r="G42">
            <v>4.1355277300000024</v>
          </cell>
          <cell r="H42">
            <v>5.1698279000000014</v>
          </cell>
          <cell r="I42">
            <v>4.8329006799999981</v>
          </cell>
          <cell r="J42">
            <v>5.1102207900000014</v>
          </cell>
          <cell r="K42">
            <v>5.6026652199999996</v>
          </cell>
          <cell r="L42">
            <v>5.1375212499999989</v>
          </cell>
          <cell r="M42">
            <v>6.0572454000000002</v>
          </cell>
          <cell r="N42">
            <v>5.7277927699999998</v>
          </cell>
        </row>
        <row r="43">
          <cell r="C43">
            <v>5.086614390000002</v>
          </cell>
          <cell r="D43">
            <v>10.716695040000001</v>
          </cell>
          <cell r="E43">
            <v>16.18676344</v>
          </cell>
          <cell r="F43">
            <v>21.71177647</v>
          </cell>
          <cell r="G43">
            <v>25.847304200000004</v>
          </cell>
          <cell r="H43">
            <v>31.017132100000005</v>
          </cell>
          <cell r="I43">
            <v>35.850032780000006</v>
          </cell>
          <cell r="J43">
            <v>40.960253570000006</v>
          </cell>
          <cell r="K43">
            <v>46.562918790000005</v>
          </cell>
          <cell r="L43">
            <v>51.700440040000004</v>
          </cell>
          <cell r="M43">
            <v>57.757685440000003</v>
          </cell>
          <cell r="N43">
            <v>63.485478210000004</v>
          </cell>
        </row>
        <row r="44">
          <cell r="C44">
            <v>-0.64916733000000004</v>
          </cell>
          <cell r="D44">
            <v>-0.57602067000000001</v>
          </cell>
          <cell r="E44">
            <v>-0.68643781999999998</v>
          </cell>
          <cell r="F44">
            <v>-0.64237664999999999</v>
          </cell>
          <cell r="G44">
            <v>-0.69047031000000003</v>
          </cell>
          <cell r="H44">
            <v>-0.68138381000000003</v>
          </cell>
          <cell r="I44">
            <v>-0.95187941000000009</v>
          </cell>
          <cell r="J44">
            <v>-0.80931189000000003</v>
          </cell>
          <cell r="K44">
            <v>-0.72498552999999999</v>
          </cell>
          <cell r="L44">
            <v>-0.85879067999999992</v>
          </cell>
          <cell r="M44">
            <v>-0.77475352000000008</v>
          </cell>
          <cell r="N44">
            <v>-1.17945568</v>
          </cell>
        </row>
        <row r="45">
          <cell r="C45">
            <v>-0.64916733000000004</v>
          </cell>
          <cell r="D45">
            <v>-1.2251880000000002</v>
          </cell>
          <cell r="E45">
            <v>-1.9116258200000003</v>
          </cell>
          <cell r="F45">
            <v>-2.5540024700000004</v>
          </cell>
          <cell r="G45">
            <v>-3.2444727800000006</v>
          </cell>
          <cell r="H45">
            <v>-3.9258565900000004</v>
          </cell>
          <cell r="I45">
            <v>-4.8777360000000005</v>
          </cell>
          <cell r="J45">
            <v>-5.6870478900000005</v>
          </cell>
          <cell r="K45">
            <v>-6.4120334200000002</v>
          </cell>
          <cell r="L45">
            <v>-7.2708241000000005</v>
          </cell>
          <cell r="M45">
            <v>-8.0455776200000013</v>
          </cell>
          <cell r="N45">
            <v>-9.2250333000000015</v>
          </cell>
        </row>
        <row r="47">
          <cell r="C47">
            <v>24.718782171907744</v>
          </cell>
          <cell r="D47">
            <v>26.020860280258336</v>
          </cell>
          <cell r="E47">
            <v>25.959083041323208</v>
          </cell>
          <cell r="F47">
            <v>24.972638724825128</v>
          </cell>
          <cell r="G47">
            <v>26.400242718074075</v>
          </cell>
          <cell r="H47">
            <v>26.872589713412442</v>
          </cell>
          <cell r="I47">
            <v>29.818047400122886</v>
          </cell>
          <cell r="J47">
            <v>29.723963962469568</v>
          </cell>
          <cell r="K47">
            <v>31.29785058366058</v>
          </cell>
          <cell r="L47">
            <v>32.244821339826458</v>
          </cell>
          <cell r="M47">
            <v>32.867699926480689</v>
          </cell>
          <cell r="N47">
            <v>33.400576991434733</v>
          </cell>
        </row>
        <row r="48">
          <cell r="C48">
            <v>24.718782171907744</v>
          </cell>
          <cell r="D48">
            <v>50.73964245216608</v>
          </cell>
          <cell r="E48">
            <v>76.698725493489292</v>
          </cell>
          <cell r="F48">
            <v>101.67136421831442</v>
          </cell>
          <cell r="G48">
            <v>128.07160693638849</v>
          </cell>
          <cell r="H48">
            <v>154.94419664980094</v>
          </cell>
          <cell r="I48">
            <v>184.76224404992382</v>
          </cell>
          <cell r="J48">
            <v>214.48620801239338</v>
          </cell>
          <cell r="K48">
            <v>245.78405859605397</v>
          </cell>
          <cell r="L48">
            <v>278.02887993588041</v>
          </cell>
          <cell r="M48">
            <v>310.89657986236108</v>
          </cell>
          <cell r="N48">
            <v>344.2971568537958</v>
          </cell>
        </row>
        <row r="49">
          <cell r="C49">
            <v>-9.617213121915114</v>
          </cell>
          <cell r="D49">
            <v>-11.008650706925506</v>
          </cell>
          <cell r="E49">
            <v>-10.077683750686564</v>
          </cell>
          <cell r="F49">
            <v>-9.1593676823438717</v>
          </cell>
          <cell r="G49">
            <v>-10.368683770657595</v>
          </cell>
          <cell r="H49">
            <v>-10.895642089775327</v>
          </cell>
          <cell r="I49">
            <v>-13.009069473823214</v>
          </cell>
          <cell r="J49">
            <v>-11.886661669587129</v>
          </cell>
          <cell r="K49">
            <v>-12.772988237754653</v>
          </cell>
          <cell r="L49">
            <v>-13.292799012260284</v>
          </cell>
          <cell r="M49">
            <v>-13.125939061894679</v>
          </cell>
          <cell r="N49">
            <v>-12.742855513050031</v>
          </cell>
        </row>
        <row r="50">
          <cell r="C50">
            <v>-9.617213121915114</v>
          </cell>
          <cell r="D50">
            <v>-20.625863828840622</v>
          </cell>
          <cell r="E50">
            <v>-30.703547579527186</v>
          </cell>
          <cell r="F50">
            <v>-39.862915261871059</v>
          </cell>
          <cell r="G50">
            <v>-50.231599032528656</v>
          </cell>
          <cell r="H50">
            <v>-61.127241122303985</v>
          </cell>
          <cell r="I50">
            <v>-74.136310596127203</v>
          </cell>
          <cell r="J50">
            <v>-86.02297226571433</v>
          </cell>
          <cell r="K50">
            <v>-98.79596050346899</v>
          </cell>
          <cell r="L50">
            <v>-112.08875951572928</v>
          </cell>
          <cell r="M50">
            <v>-125.21469857762396</v>
          </cell>
          <cell r="N50">
            <v>-137.95755409067399</v>
          </cell>
        </row>
        <row r="51">
          <cell r="C51">
            <v>-7.4357528306143994</v>
          </cell>
          <cell r="D51">
            <v>-7.3959359523639456</v>
          </cell>
          <cell r="E51">
            <v>-8.0576094755424776</v>
          </cell>
          <cell r="F51">
            <v>-7.809742734740726</v>
          </cell>
          <cell r="G51">
            <v>-7.8857383096355145</v>
          </cell>
          <cell r="H51">
            <v>-7.9629275138537121</v>
          </cell>
          <cell r="I51">
            <v>-8.2007547888745478</v>
          </cell>
          <cell r="J51">
            <v>-8.2830844245381687</v>
          </cell>
          <cell r="K51">
            <v>-8.6243490605890152</v>
          </cell>
          <cell r="L51">
            <v>-8.511644014963025</v>
          </cell>
          <cell r="M51">
            <v>-8.5876566745813303</v>
          </cell>
          <cell r="N51">
            <v>-9.210192395742645</v>
          </cell>
        </row>
        <row r="52">
          <cell r="C52">
            <v>-7.4357528306143994</v>
          </cell>
          <cell r="D52">
            <v>-14.831688782978345</v>
          </cell>
          <cell r="E52">
            <v>-22.889298258520824</v>
          </cell>
          <cell r="F52">
            <v>-30.699040993261551</v>
          </cell>
          <cell r="G52">
            <v>-38.584779302897068</v>
          </cell>
          <cell r="H52">
            <v>-46.547706816750782</v>
          </cell>
          <cell r="I52">
            <v>-54.74846160562533</v>
          </cell>
          <cell r="J52">
            <v>-63.031546030163497</v>
          </cell>
          <cell r="K52">
            <v>-71.655895090752509</v>
          </cell>
          <cell r="L52">
            <v>-80.167539105715534</v>
          </cell>
          <cell r="M52">
            <v>-88.755195780296859</v>
          </cell>
          <cell r="N52">
            <v>-97.965388176039511</v>
          </cell>
        </row>
        <row r="53">
          <cell r="C53">
            <v>7.4219602922173964</v>
          </cell>
          <cell r="D53">
            <v>7.3815603794145028</v>
          </cell>
          <cell r="E53">
            <v>7.5838442715675836</v>
          </cell>
          <cell r="F53">
            <v>7.7649283499089918</v>
          </cell>
          <cell r="G53">
            <v>7.9050845541216797</v>
          </cell>
          <cell r="H53">
            <v>7.7757836402867975</v>
          </cell>
          <cell r="I53">
            <v>8.3733935759711287</v>
          </cell>
          <cell r="J53">
            <v>9.3261907192381148</v>
          </cell>
          <cell r="K53">
            <v>9.6721327196465285</v>
          </cell>
          <cell r="L53">
            <v>10.202347088277605</v>
          </cell>
          <cell r="M53">
            <v>10.934389741548378</v>
          </cell>
          <cell r="N53">
            <v>11.223241120102815</v>
          </cell>
        </row>
        <row r="54">
          <cell r="C54">
            <v>7.4219602922173964</v>
          </cell>
          <cell r="D54">
            <v>14.803520671631899</v>
          </cell>
          <cell r="E54">
            <v>22.387364943199483</v>
          </cell>
          <cell r="F54">
            <v>30.152293293108475</v>
          </cell>
          <cell r="G54">
            <v>38.057377847230157</v>
          </cell>
          <cell r="H54">
            <v>45.833161487516954</v>
          </cell>
          <cell r="I54">
            <v>54.206555063488082</v>
          </cell>
          <cell r="J54">
            <v>63.532745782726195</v>
          </cell>
          <cell r="K54">
            <v>73.204878502372722</v>
          </cell>
          <cell r="L54">
            <v>83.407225590650327</v>
          </cell>
          <cell r="M54">
            <v>94.3416153321987</v>
          </cell>
          <cell r="N54">
            <v>105.56485645230151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8">
          <cell r="C58">
            <v>21.530917381132081</v>
          </cell>
          <cell r="D58">
            <v>22.441896709433966</v>
          </cell>
          <cell r="E58">
            <v>25.58078409811321</v>
          </cell>
          <cell r="F58">
            <v>25.293026101886788</v>
          </cell>
          <cell r="G58">
            <v>25.928491098113209</v>
          </cell>
          <cell r="H58">
            <v>25.397877211320761</v>
          </cell>
          <cell r="I58">
            <v>25.918006784905657</v>
          </cell>
          <cell r="J58">
            <v>24.481120052830185</v>
          </cell>
          <cell r="K58">
            <v>24.387366181132073</v>
          </cell>
          <cell r="L58">
            <v>25.41691770943396</v>
          </cell>
          <cell r="M58">
            <v>25.281454037735848</v>
          </cell>
          <cell r="N58">
            <v>33.029395947169803</v>
          </cell>
        </row>
        <row r="59">
          <cell r="C59">
            <v>21.530917381132081</v>
          </cell>
          <cell r="D59">
            <v>43.972814090566047</v>
          </cell>
          <cell r="E59">
            <v>69.55359818867926</v>
          </cell>
          <cell r="F59">
            <v>94.846624290566041</v>
          </cell>
          <cell r="G59">
            <v>120.77511538867925</v>
          </cell>
          <cell r="H59">
            <v>146.17299260000001</v>
          </cell>
          <cell r="I59">
            <v>172.09099938490567</v>
          </cell>
          <cell r="J59">
            <v>196.57211943773586</v>
          </cell>
          <cell r="K59">
            <v>220.95948561886794</v>
          </cell>
          <cell r="L59">
            <v>246.3764033283019</v>
          </cell>
          <cell r="M59">
            <v>271.65785736603777</v>
          </cell>
          <cell r="N59">
            <v>304.68725331320758</v>
          </cell>
        </row>
        <row r="60">
          <cell r="C60">
            <v>-8.8028596830188679</v>
          </cell>
          <cell r="D60">
            <v>-9.5625255094339625</v>
          </cell>
          <cell r="E60">
            <v>-12.898950667924527</v>
          </cell>
          <cell r="F60">
            <v>-11.794383271698113</v>
          </cell>
          <cell r="G60">
            <v>-12.480590218867924</v>
          </cell>
          <cell r="H60">
            <v>-11.286219113207549</v>
          </cell>
          <cell r="I60">
            <v>-11.525055090566038</v>
          </cell>
          <cell r="J60">
            <v>-9.2914676037735866</v>
          </cell>
          <cell r="K60">
            <v>-7.0282387924528349</v>
          </cell>
          <cell r="L60">
            <v>-8.0849751056603765</v>
          </cell>
          <cell r="M60">
            <v>-8.0923400415094324</v>
          </cell>
          <cell r="N60">
            <v>-14.601703599999995</v>
          </cell>
        </row>
        <row r="61">
          <cell r="C61">
            <v>-8.8028596830188679</v>
          </cell>
          <cell r="D61">
            <v>-18.36538519245283</v>
          </cell>
          <cell r="E61">
            <v>-31.264335860377358</v>
          </cell>
          <cell r="F61">
            <v>-43.058719132075467</v>
          </cell>
          <cell r="G61">
            <v>-55.539309350943391</v>
          </cell>
          <cell r="H61">
            <v>-66.825528464150935</v>
          </cell>
          <cell r="I61">
            <v>-78.350583554716977</v>
          </cell>
          <cell r="J61">
            <v>-87.64205115849056</v>
          </cell>
          <cell r="K61">
            <v>-94.670289950943399</v>
          </cell>
          <cell r="L61">
            <v>-102.75526505660378</v>
          </cell>
          <cell r="M61">
            <v>-110.84760509811321</v>
          </cell>
          <cell r="N61">
            <v>-125.4493086981132</v>
          </cell>
        </row>
        <row r="62">
          <cell r="C62">
            <v>-6.2406483421383632</v>
          </cell>
          <cell r="D62">
            <v>-6.1847222025157231</v>
          </cell>
          <cell r="E62">
            <v>-6.210004266666667</v>
          </cell>
          <cell r="F62">
            <v>-6.5471005383647816</v>
          </cell>
          <cell r="G62">
            <v>-6.9065557081761</v>
          </cell>
          <cell r="H62">
            <v>-7.0666091459119498</v>
          </cell>
          <cell r="I62">
            <v>-6.1999531836477946</v>
          </cell>
          <cell r="J62">
            <v>-6.8194487194968545</v>
          </cell>
          <cell r="K62">
            <v>-8.5271511685534591</v>
          </cell>
          <cell r="L62">
            <v>-7.3185474477987427</v>
          </cell>
          <cell r="M62">
            <v>-7.8889362440251594</v>
          </cell>
          <cell r="N62">
            <v>-7.6737204893081739</v>
          </cell>
        </row>
        <row r="63">
          <cell r="C63">
            <v>-6.2406483421383632</v>
          </cell>
          <cell r="D63">
            <v>-12.425370544654086</v>
          </cell>
          <cell r="E63">
            <v>-18.635374811320752</v>
          </cell>
          <cell r="F63">
            <v>-25.182475349685532</v>
          </cell>
          <cell r="G63">
            <v>-32.089031057861632</v>
          </cell>
          <cell r="H63">
            <v>-39.155640203773579</v>
          </cell>
          <cell r="I63">
            <v>-45.355593387421372</v>
          </cell>
          <cell r="J63">
            <v>-52.175042106918227</v>
          </cell>
          <cell r="K63">
            <v>-60.702193275471686</v>
          </cell>
          <cell r="L63">
            <v>-68.020740723270421</v>
          </cell>
          <cell r="M63">
            <v>-75.909676967295582</v>
          </cell>
          <cell r="N63">
            <v>-83.583397456603763</v>
          </cell>
        </row>
        <row r="64">
          <cell r="C64">
            <v>6.2992705748427715</v>
          </cell>
          <cell r="D64">
            <v>6.4910778050314502</v>
          </cell>
          <cell r="E64">
            <v>6.2767776540880531</v>
          </cell>
          <cell r="F64">
            <v>6.7537926427672907</v>
          </cell>
          <cell r="G64">
            <v>6.3692422201257912</v>
          </cell>
          <cell r="H64">
            <v>6.8234474276729591</v>
          </cell>
          <cell r="I64">
            <v>7.9924745672955995</v>
          </cell>
          <cell r="J64">
            <v>8.1697668767295575</v>
          </cell>
          <cell r="K64">
            <v>8.6316689220125724</v>
          </cell>
          <cell r="L64">
            <v>9.7360529974842738</v>
          </cell>
          <cell r="M64">
            <v>9.1653604088050304</v>
          </cell>
          <cell r="N64">
            <v>10.533436250314463</v>
          </cell>
        </row>
        <row r="65">
          <cell r="C65">
            <v>6.2992705748427715</v>
          </cell>
          <cell r="D65">
            <v>12.790348379874221</v>
          </cell>
          <cell r="E65">
            <v>19.067126033962275</v>
          </cell>
          <cell r="F65">
            <v>25.820918676729566</v>
          </cell>
          <cell r="G65">
            <v>32.19016089685536</v>
          </cell>
          <cell r="H65">
            <v>39.01360832452832</v>
          </cell>
          <cell r="I65">
            <v>47.006082891823922</v>
          </cell>
          <cell r="J65">
            <v>55.175849768553476</v>
          </cell>
          <cell r="K65">
            <v>63.807518690566049</v>
          </cell>
          <cell r="L65">
            <v>73.543571688050321</v>
          </cell>
          <cell r="M65">
            <v>82.708932096855349</v>
          </cell>
          <cell r="N65">
            <v>93.242368347169815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9">
          <cell r="C69">
            <v>0.8194265751721157</v>
          </cell>
          <cell r="D69">
            <v>0.85617678067600023</v>
          </cell>
          <cell r="E69">
            <v>0.91693640014603339</v>
          </cell>
          <cell r="F69">
            <v>0.95370944240018019</v>
          </cell>
          <cell r="G69">
            <v>1.0214964521140457</v>
          </cell>
          <cell r="H69">
            <v>1.0008661860952557</v>
          </cell>
          <cell r="I69">
            <v>1.0147315186237793</v>
          </cell>
          <cell r="J69">
            <v>0.95063806821366614</v>
          </cell>
          <cell r="K69">
            <v>1.055805356739324</v>
          </cell>
          <cell r="L69">
            <v>1.1580941612943627</v>
          </cell>
          <cell r="M69">
            <v>1.2590745617342241</v>
          </cell>
          <cell r="N69">
            <v>1.4041873392965796</v>
          </cell>
        </row>
        <row r="70">
          <cell r="C70">
            <v>0.8194265751721157</v>
          </cell>
          <cell r="D70">
            <v>1.675603355848116</v>
          </cell>
          <cell r="E70">
            <v>2.5925397559941494</v>
          </cell>
          <cell r="F70">
            <v>3.5462491983943298</v>
          </cell>
          <cell r="G70">
            <v>4.5677456505083756</v>
          </cell>
          <cell r="H70">
            <v>5.5686118366036315</v>
          </cell>
          <cell r="I70">
            <v>6.5833433552274112</v>
          </cell>
          <cell r="J70">
            <v>7.5339814234410776</v>
          </cell>
          <cell r="K70">
            <v>8.5897867801804022</v>
          </cell>
          <cell r="L70">
            <v>9.7478809414747651</v>
          </cell>
          <cell r="M70">
            <v>11.006955503208989</v>
          </cell>
          <cell r="N70">
            <v>12.411142842505569</v>
          </cell>
        </row>
        <row r="71">
          <cell r="C71">
            <v>-0.20579721533845974</v>
          </cell>
          <cell r="D71">
            <v>-0.21431005538013109</v>
          </cell>
          <cell r="E71">
            <v>-0.2281482323515833</v>
          </cell>
          <cell r="F71">
            <v>-0.23172706276859514</v>
          </cell>
          <cell r="G71">
            <v>-0.23889207937903098</v>
          </cell>
          <cell r="H71">
            <v>-0.22790843404055028</v>
          </cell>
          <cell r="I71">
            <v>-0.22530546996087106</v>
          </cell>
          <cell r="J71">
            <v>-0.20375402584373792</v>
          </cell>
          <cell r="K71">
            <v>-0.24217177488861927</v>
          </cell>
          <cell r="L71">
            <v>-0.24933532034377268</v>
          </cell>
          <cell r="M71">
            <v>-0.26832450234403998</v>
          </cell>
          <cell r="N71">
            <v>-0.30610744788456151</v>
          </cell>
        </row>
        <row r="72">
          <cell r="C72">
            <v>-0.20579721533845974</v>
          </cell>
          <cell r="D72">
            <v>-0.42010727071859083</v>
          </cell>
          <cell r="E72">
            <v>-0.6482555030701741</v>
          </cell>
          <cell r="F72">
            <v>-0.87998256583876922</v>
          </cell>
          <cell r="G72">
            <v>-1.1188746452178002</v>
          </cell>
          <cell r="H72">
            <v>-1.3467830792583504</v>
          </cell>
          <cell r="I72">
            <v>-1.5720885492192214</v>
          </cell>
          <cell r="J72">
            <v>-1.7758425750629594</v>
          </cell>
          <cell r="K72">
            <v>-2.0180143499515788</v>
          </cell>
          <cell r="L72">
            <v>-2.2673496702953515</v>
          </cell>
          <cell r="M72">
            <v>-2.5356741726393914</v>
          </cell>
          <cell r="N72">
            <v>-2.8417816205239528</v>
          </cell>
        </row>
        <row r="73">
          <cell r="C73">
            <v>-0.72625254956407059</v>
          </cell>
          <cell r="D73">
            <v>-0.63616568278805297</v>
          </cell>
          <cell r="E73">
            <v>-0.66994080480055107</v>
          </cell>
          <cell r="F73">
            <v>-0.67587758986247481</v>
          </cell>
          <cell r="G73">
            <v>-0.70016728776377246</v>
          </cell>
          <cell r="H73">
            <v>-0.67995630235358606</v>
          </cell>
          <cell r="I73">
            <v>-0.6983240403367581</v>
          </cell>
          <cell r="J73">
            <v>-0.66429238140019808</v>
          </cell>
          <cell r="K73">
            <v>-0.74642339471281938</v>
          </cell>
          <cell r="L73">
            <v>-0.7566752813469535</v>
          </cell>
          <cell r="M73">
            <v>-0.7771242521657955</v>
          </cell>
          <cell r="N73">
            <v>-0.81336937625032979</v>
          </cell>
        </row>
        <row r="74">
          <cell r="C74">
            <v>-0.72625254956407059</v>
          </cell>
          <cell r="D74">
            <v>-1.3624182323521237</v>
          </cell>
          <cell r="E74">
            <v>-2.0323590371526747</v>
          </cell>
          <cell r="F74">
            <v>-2.7082366270151494</v>
          </cell>
          <cell r="G74">
            <v>-3.4084039147789218</v>
          </cell>
          <cell r="H74">
            <v>-4.0883602171325082</v>
          </cell>
          <cell r="I74">
            <v>-4.7866842574692665</v>
          </cell>
          <cell r="J74">
            <v>-5.4509766388694647</v>
          </cell>
          <cell r="K74">
            <v>-6.1974000335822836</v>
          </cell>
          <cell r="L74">
            <v>-6.9540753149292369</v>
          </cell>
          <cell r="M74">
            <v>-7.7311995670950324</v>
          </cell>
          <cell r="N74">
            <v>-8.5445689433453627</v>
          </cell>
        </row>
        <row r="75">
          <cell r="C75">
            <v>-0.11303985639708129</v>
          </cell>
          <cell r="D75">
            <v>5.2843758411495563E-3</v>
          </cell>
          <cell r="E75">
            <v>1.8430696327232331E-2</v>
          </cell>
          <cell r="F75">
            <v>4.5688123102443585E-2</v>
          </cell>
          <cell r="G75">
            <v>8.2020418304575585E-2</v>
          </cell>
          <cell r="H75">
            <v>9.2584783034452681E-2</v>
          </cell>
          <cell r="I75">
            <v>9.0685341659483457E-2</v>
          </cell>
          <cell r="J75">
            <v>8.2174994303063478E-2</v>
          </cell>
          <cell r="K75">
            <v>6.6793520471218629E-2</v>
          </cell>
          <cell r="L75">
            <v>0.15166689293696983</v>
          </cell>
          <cell r="M75">
            <v>0.21320914055772194</v>
          </cell>
          <cell r="N75">
            <v>0.28429384849502154</v>
          </cell>
        </row>
        <row r="76">
          <cell r="C76">
            <v>-0.11303985639708129</v>
          </cell>
          <cell r="D76">
            <v>-0.10775548055593173</v>
          </cell>
          <cell r="E76">
            <v>-8.9324784228699397E-2</v>
          </cell>
          <cell r="F76">
            <v>-4.3636661126255812E-2</v>
          </cell>
          <cell r="G76">
            <v>3.8383757178319773E-2</v>
          </cell>
          <cell r="H76">
            <v>0.13096854021277246</v>
          </cell>
          <cell r="I76">
            <v>0.22165388187225593</v>
          </cell>
          <cell r="J76">
            <v>0.3038288761753194</v>
          </cell>
          <cell r="K76">
            <v>0.37062239664653801</v>
          </cell>
          <cell r="L76">
            <v>0.52228928958350784</v>
          </cell>
          <cell r="M76">
            <v>0.73549843014122973</v>
          </cell>
          <cell r="N76">
            <v>1.0197922786362512</v>
          </cell>
        </row>
        <row r="77">
          <cell r="C77">
            <v>-2.7881075496117343E-2</v>
          </cell>
          <cell r="D77">
            <v>-2.9034381363244176E-2</v>
          </cell>
          <cell r="E77">
            <v>-3.0909155306298532E-2</v>
          </cell>
          <cell r="F77">
            <v>-3.1394009490940462E-2</v>
          </cell>
          <cell r="G77">
            <v>-3.2364714408973254E-2</v>
          </cell>
          <cell r="H77">
            <v>-3.0876667817083689E-2</v>
          </cell>
          <cell r="I77">
            <v>-3.0524022433132007E-2</v>
          </cell>
          <cell r="J77">
            <v>-2.7604267471958585E-2</v>
          </cell>
          <cell r="K77">
            <v>-3.280904227782571E-2</v>
          </cell>
          <cell r="L77">
            <v>-3.3779547886108714E-2</v>
          </cell>
          <cell r="M77">
            <v>-3.6352171699741156E-2</v>
          </cell>
          <cell r="N77">
            <v>-4.1470944348576434E-2</v>
          </cell>
        </row>
        <row r="78">
          <cell r="C78">
            <v>-2.7881075496117343E-2</v>
          </cell>
          <cell r="D78">
            <v>-5.6915456859361516E-2</v>
          </cell>
          <cell r="E78">
            <v>-8.7824612165660051E-2</v>
          </cell>
          <cell r="F78">
            <v>-0.11921862165660052</v>
          </cell>
          <cell r="G78">
            <v>-0.15158333606557378</v>
          </cell>
          <cell r="H78">
            <v>-0.18246000388265748</v>
          </cell>
          <cell r="I78">
            <v>-0.2129840263157895</v>
          </cell>
          <cell r="J78">
            <v>-0.2405882937877481</v>
          </cell>
          <cell r="K78">
            <v>-0.27339733606557381</v>
          </cell>
          <cell r="L78">
            <v>-0.30717688395168252</v>
          </cell>
          <cell r="M78">
            <v>-0.34352905565142366</v>
          </cell>
          <cell r="N78">
            <v>-0.38500000000000012</v>
          </cell>
        </row>
        <row r="80">
          <cell r="C80">
            <v>0.51246320000000001</v>
          </cell>
          <cell r="D80">
            <v>0.40369834999999998</v>
          </cell>
          <cell r="E80">
            <v>0.50899647999999997</v>
          </cell>
          <cell r="F80">
            <v>0.58011929000000007</v>
          </cell>
          <cell r="G80">
            <v>0.53295434000000008</v>
          </cell>
          <cell r="H80">
            <v>0.50870928999999998</v>
          </cell>
          <cell r="I80">
            <v>0.58576183000000004</v>
          </cell>
          <cell r="J80">
            <v>0.59308359999999993</v>
          </cell>
          <cell r="K80">
            <v>0.69771385999999991</v>
          </cell>
          <cell r="L80">
            <v>0.72457412999999993</v>
          </cell>
          <cell r="M80">
            <v>0.71509683000000002</v>
          </cell>
          <cell r="N80">
            <v>0.93918396999999998</v>
          </cell>
        </row>
        <row r="81">
          <cell r="C81">
            <v>0.51246320000000001</v>
          </cell>
          <cell r="D81">
            <v>0.91616154999999999</v>
          </cell>
          <cell r="E81">
            <v>1.42515803</v>
          </cell>
          <cell r="F81">
            <v>2.0052773200000003</v>
          </cell>
          <cell r="G81">
            <v>2.5382316600000001</v>
          </cell>
          <cell r="H81">
            <v>3.0469409500000002</v>
          </cell>
          <cell r="I81">
            <v>3.6327027800000002</v>
          </cell>
          <cell r="J81">
            <v>4.2257863800000006</v>
          </cell>
          <cell r="K81">
            <v>4.923500240000001</v>
          </cell>
          <cell r="L81">
            <v>5.6480743700000007</v>
          </cell>
          <cell r="M81">
            <v>6.3631712000000009</v>
          </cell>
          <cell r="N81">
            <v>7.3023551700000011</v>
          </cell>
        </row>
        <row r="82">
          <cell r="C82">
            <v>-0.21409502</v>
          </cell>
          <cell r="D82">
            <v>-0.26135045000000001</v>
          </cell>
          <cell r="E82">
            <v>0.11451902999999999</v>
          </cell>
          <cell r="F82">
            <v>-3.6623629999999997E-2</v>
          </cell>
          <cell r="G82">
            <v>-0.24323270999999999</v>
          </cell>
          <cell r="H82">
            <v>-0.21242649999999999</v>
          </cell>
          <cell r="I82">
            <v>-0.25873800000000002</v>
          </cell>
          <cell r="J82">
            <v>-0.32225731000000002</v>
          </cell>
          <cell r="K82">
            <v>-0.2514054</v>
          </cell>
          <cell r="L82">
            <v>-0.21984730999999999</v>
          </cell>
          <cell r="M82">
            <v>-0.22936842999999998</v>
          </cell>
          <cell r="N82">
            <v>-0.33960934999999998</v>
          </cell>
        </row>
        <row r="83">
          <cell r="C83">
            <v>-0.21409502</v>
          </cell>
          <cell r="D83">
            <v>-0.47544547000000004</v>
          </cell>
          <cell r="E83">
            <v>-0.36092644000000007</v>
          </cell>
          <cell r="F83">
            <v>-0.39755007000000009</v>
          </cell>
          <cell r="G83">
            <v>-0.64078278000000011</v>
          </cell>
          <cell r="H83">
            <v>-0.85320928000000007</v>
          </cell>
          <cell r="I83">
            <v>-1.1119472800000001</v>
          </cell>
          <cell r="J83">
            <v>-1.4342045900000002</v>
          </cell>
          <cell r="K83">
            <v>-1.6856099900000001</v>
          </cell>
          <cell r="L83">
            <v>-1.9054573000000001</v>
          </cell>
          <cell r="M83">
            <v>-2.1348257300000002</v>
          </cell>
          <cell r="N83">
            <v>-2.4744350800000001</v>
          </cell>
        </row>
        <row r="84">
          <cell r="C84">
            <v>-0.55172938000000005</v>
          </cell>
          <cell r="D84">
            <v>-0.55641057999999999</v>
          </cell>
          <cell r="E84">
            <v>-0.61165965</v>
          </cell>
          <cell r="F84">
            <v>-0.63038440000000007</v>
          </cell>
          <cell r="G84">
            <v>-0.62362457999999998</v>
          </cell>
          <cell r="H84">
            <v>-0.58788609999999997</v>
          </cell>
          <cell r="I84">
            <v>-0.59236179999999994</v>
          </cell>
          <cell r="J84">
            <v>-0.56923257000000005</v>
          </cell>
          <cell r="K84">
            <v>-0.52899988999999992</v>
          </cell>
          <cell r="L84">
            <v>-0.59819931999999998</v>
          </cell>
          <cell r="M84">
            <v>-0.62484706000000001</v>
          </cell>
          <cell r="N84">
            <v>-0.76449783000000004</v>
          </cell>
        </row>
        <row r="85">
          <cell r="C85">
            <v>-0.55172938000000005</v>
          </cell>
          <cell r="D85">
            <v>-1.1081399599999999</v>
          </cell>
          <cell r="E85">
            <v>-1.7197996099999999</v>
          </cell>
          <cell r="F85">
            <v>-2.35018401</v>
          </cell>
          <cell r="G85">
            <v>-2.97380859</v>
          </cell>
          <cell r="H85">
            <v>-3.5616946899999999</v>
          </cell>
          <cell r="I85">
            <v>-4.1540564900000003</v>
          </cell>
          <cell r="J85">
            <v>-4.7232890600000008</v>
          </cell>
          <cell r="K85">
            <v>-5.2522889500000005</v>
          </cell>
          <cell r="L85">
            <v>-5.8504882700000005</v>
          </cell>
          <cell r="M85">
            <v>-6.4753353300000001</v>
          </cell>
          <cell r="N85">
            <v>-7.2398331599999999</v>
          </cell>
        </row>
        <row r="86">
          <cell r="C86">
            <v>-0.25826952000000009</v>
          </cell>
          <cell r="D86">
            <v>-0.30352456999999999</v>
          </cell>
          <cell r="E86">
            <v>1.8752529999999941E-2</v>
          </cell>
          <cell r="F86">
            <v>-8.688874000000002E-2</v>
          </cell>
          <cell r="G86">
            <v>-0.28259436999999993</v>
          </cell>
          <cell r="H86">
            <v>-0.29419815999999993</v>
          </cell>
          <cell r="I86">
            <v>-0.26760592999999994</v>
          </cell>
          <cell r="J86">
            <v>-0.29881186000000015</v>
          </cell>
          <cell r="K86">
            <v>-0.18457948000000002</v>
          </cell>
          <cell r="L86">
            <v>-9.379374000000007E-2</v>
          </cell>
          <cell r="M86">
            <v>-0.13903945999999995</v>
          </cell>
          <cell r="N86">
            <v>-0.16437795999999999</v>
          </cell>
        </row>
        <row r="87">
          <cell r="C87">
            <v>-0.25826952000000009</v>
          </cell>
          <cell r="D87">
            <v>-0.56179409000000002</v>
          </cell>
          <cell r="E87">
            <v>-0.54304156000000003</v>
          </cell>
          <cell r="F87">
            <v>-0.62993030000000005</v>
          </cell>
          <cell r="G87">
            <v>-0.91252467000000004</v>
          </cell>
          <cell r="H87">
            <v>-1.2067228299999999</v>
          </cell>
          <cell r="I87">
            <v>-1.4743287599999999</v>
          </cell>
          <cell r="J87">
            <v>-1.7731406199999999</v>
          </cell>
          <cell r="K87">
            <v>-1.9577201</v>
          </cell>
          <cell r="L87">
            <v>-2.0515138400000001</v>
          </cell>
          <cell r="M87">
            <v>-2.1905532999999999</v>
          </cell>
          <cell r="N87">
            <v>-2.3549312599999999</v>
          </cell>
        </row>
        <row r="88">
          <cell r="C88">
            <v>-7.848150999999999E-2</v>
          </cell>
          <cell r="D88">
            <v>-6.5568970000000004E-2</v>
          </cell>
          <cell r="E88">
            <v>-6.6260280000000005E-2</v>
          </cell>
          <cell r="F88">
            <v>-6.2588809999999995E-2</v>
          </cell>
          <cell r="G88">
            <v>-6.2570680000000004E-2</v>
          </cell>
          <cell r="H88">
            <v>-5.7723219999999999E-2</v>
          </cell>
          <cell r="I88">
            <v>-5.6573640000000001E-2</v>
          </cell>
          <cell r="J88">
            <v>-6.2596079999999998E-2</v>
          </cell>
          <cell r="K88">
            <v>-6.2773430000000005E-2</v>
          </cell>
          <cell r="L88">
            <v>-5.2470849999999999E-2</v>
          </cell>
          <cell r="M88">
            <v>-4.8175459999999996E-2</v>
          </cell>
          <cell r="N88">
            <v>-6.3084379999999995E-2</v>
          </cell>
        </row>
        <row r="89">
          <cell r="C89">
            <v>-7.848150999999999E-2</v>
          </cell>
          <cell r="D89">
            <v>-0.14405047999999998</v>
          </cell>
          <cell r="E89">
            <v>-0.21031075999999999</v>
          </cell>
          <cell r="F89">
            <v>-0.27289956999999998</v>
          </cell>
          <cell r="G89">
            <v>-0.33547024999999997</v>
          </cell>
          <cell r="H89">
            <v>-0.39319346999999999</v>
          </cell>
          <cell r="I89">
            <v>-0.44976710999999997</v>
          </cell>
          <cell r="J89">
            <v>-0.51236318999999997</v>
          </cell>
          <cell r="K89">
            <v>-0.57513661999999999</v>
          </cell>
          <cell r="L89">
            <v>-0.62760746999999995</v>
          </cell>
          <cell r="M89">
            <v>-0.67578292999999989</v>
          </cell>
          <cell r="N89">
            <v>-0.73886730999999983</v>
          </cell>
        </row>
        <row r="91">
          <cell r="C91">
            <v>0.93709777708166353</v>
          </cell>
          <cell r="D91">
            <v>0.87622408784906292</v>
          </cell>
          <cell r="E91">
            <v>0.93770048708013376</v>
          </cell>
          <cell r="F91">
            <v>0.9131463899460639</v>
          </cell>
          <cell r="G91">
            <v>0.9663433528531109</v>
          </cell>
          <cell r="H91">
            <v>0.97018084914366232</v>
          </cell>
          <cell r="I91">
            <v>1.0956329665648996</v>
          </cell>
          <cell r="J91">
            <v>1.1000702855090132</v>
          </cell>
          <cell r="K91">
            <v>1.0535294271162852</v>
          </cell>
          <cell r="L91">
            <v>1.0994753353787214</v>
          </cell>
          <cell r="M91">
            <v>1.0897740561180762</v>
          </cell>
          <cell r="N91">
            <v>1.1691101676018634</v>
          </cell>
        </row>
        <row r="92">
          <cell r="C92">
            <v>0.93709777708166353</v>
          </cell>
          <cell r="D92">
            <v>1.8133218649307263</v>
          </cell>
          <cell r="E92">
            <v>2.7510223520108603</v>
          </cell>
          <cell r="F92">
            <v>3.6641687419569244</v>
          </cell>
          <cell r="G92">
            <v>4.6305120948100349</v>
          </cell>
          <cell r="H92">
            <v>5.600692943953697</v>
          </cell>
          <cell r="I92">
            <v>6.6963259105185964</v>
          </cell>
          <cell r="J92">
            <v>7.7963961960276098</v>
          </cell>
          <cell r="K92">
            <v>8.8499256231438945</v>
          </cell>
          <cell r="L92">
            <v>9.9494009585226166</v>
          </cell>
          <cell r="M92">
            <v>11.039175014640692</v>
          </cell>
          <cell r="N92">
            <v>12.208285182242555</v>
          </cell>
        </row>
        <row r="93">
          <cell r="C93">
            <v>-0.17310009254173764</v>
          </cell>
          <cell r="D93">
            <v>-0.17839343122279583</v>
          </cell>
          <cell r="E93">
            <v>-0.18387460548934126</v>
          </cell>
          <cell r="F93">
            <v>-0.18912905045941852</v>
          </cell>
          <cell r="G93">
            <v>-0.19481913428796815</v>
          </cell>
          <cell r="H93">
            <v>-0.20004336272292778</v>
          </cell>
          <cell r="I93">
            <v>-0.20538571971511557</v>
          </cell>
          <cell r="J93">
            <v>-0.21089502850299047</v>
          </cell>
          <cell r="K93">
            <v>-0.21643219843317058</v>
          </cell>
          <cell r="L93">
            <v>-0.22155763612910989</v>
          </cell>
          <cell r="M93">
            <v>-0.22659579478088959</v>
          </cell>
          <cell r="N93">
            <v>-0.23246473904330678</v>
          </cell>
        </row>
        <row r="94">
          <cell r="C94">
            <v>-0.17310009254173764</v>
          </cell>
          <cell r="D94">
            <v>-0.35149352376453347</v>
          </cell>
          <cell r="E94">
            <v>-0.53536812925387478</v>
          </cell>
          <cell r="F94">
            <v>-0.7244971797132933</v>
          </cell>
          <cell r="G94">
            <v>-0.91931631400126146</v>
          </cell>
          <cell r="H94">
            <v>-1.1193596767241893</v>
          </cell>
          <cell r="I94">
            <v>-1.324745396439305</v>
          </cell>
          <cell r="J94">
            <v>-1.5356404249422955</v>
          </cell>
          <cell r="K94">
            <v>-1.752072623375466</v>
          </cell>
          <cell r="L94">
            <v>-1.9736302595045758</v>
          </cell>
          <cell r="M94">
            <v>-2.2002260542854652</v>
          </cell>
          <cell r="N94">
            <v>-2.432690793328772</v>
          </cell>
        </row>
        <row r="95">
          <cell r="C95">
            <v>-0.79036496184986282</v>
          </cell>
          <cell r="D95">
            <v>-0.78583774449333987</v>
          </cell>
          <cell r="E95">
            <v>-0.86437560002910185</v>
          </cell>
          <cell r="F95">
            <v>-0.8066293682950354</v>
          </cell>
          <cell r="G95">
            <v>-0.83059570930551452</v>
          </cell>
          <cell r="H95">
            <v>-0.87886447967834191</v>
          </cell>
          <cell r="I95">
            <v>-0.73243300666305844</v>
          </cell>
          <cell r="J95">
            <v>-0.75558050821465872</v>
          </cell>
          <cell r="K95">
            <v>-0.8085221121773547</v>
          </cell>
          <cell r="L95">
            <v>-0.81714604935277235</v>
          </cell>
          <cell r="M95">
            <v>-0.78716887248728451</v>
          </cell>
          <cell r="N95">
            <v>-0.85035858745367421</v>
          </cell>
        </row>
        <row r="96">
          <cell r="C96">
            <v>-0.79036496184986282</v>
          </cell>
          <cell r="D96">
            <v>-1.5762027063432027</v>
          </cell>
          <cell r="E96">
            <v>-2.4405783063723048</v>
          </cell>
          <cell r="F96">
            <v>-3.2472076746673402</v>
          </cell>
          <cell r="G96">
            <v>-4.0778033839728547</v>
          </cell>
          <cell r="H96">
            <v>-4.9566678636511963</v>
          </cell>
          <cell r="I96">
            <v>-5.6891008703142543</v>
          </cell>
          <cell r="J96">
            <v>-6.4446813785289132</v>
          </cell>
          <cell r="K96">
            <v>-7.2532034907062677</v>
          </cell>
          <cell r="L96">
            <v>-8.0703495400590395</v>
          </cell>
          <cell r="M96">
            <v>-8.8575184125463231</v>
          </cell>
          <cell r="N96">
            <v>-9.7078769999999981</v>
          </cell>
        </row>
        <row r="97">
          <cell r="C97">
            <v>-3.0533943976603597E-2</v>
          </cell>
          <cell r="D97">
            <v>-9.2173754533739452E-2</v>
          </cell>
          <cell r="E97">
            <v>-0.11471638510497596</v>
          </cell>
          <cell r="F97">
            <v>-8.6778695475056691E-2</v>
          </cell>
          <cell r="G97">
            <v>-6.3238157407038434E-2</v>
          </cell>
          <cell r="H97">
            <v>-0.11289365992427404</v>
          </cell>
          <cell r="I97">
            <v>0.15364757352005895</v>
          </cell>
          <cell r="J97">
            <v>0.12942808212469734</v>
          </cell>
          <cell r="K97">
            <v>2.440844983909328E-2</v>
          </cell>
          <cell r="L97">
            <v>5.6604983230172587E-2</v>
          </cell>
          <cell r="M97">
            <v>7.1842722183235383E-2</v>
          </cell>
          <cell r="N97">
            <v>8.2120174438215718E-2</v>
          </cell>
        </row>
        <row r="98">
          <cell r="C98">
            <v>-3.0533943976603597E-2</v>
          </cell>
          <cell r="D98">
            <v>-0.12270769851034305</v>
          </cell>
          <cell r="E98">
            <v>-0.23742408361531903</v>
          </cell>
          <cell r="F98">
            <v>-0.3242027790903757</v>
          </cell>
          <cell r="G98">
            <v>-0.38744093649741412</v>
          </cell>
          <cell r="H98">
            <v>-0.5003345964216882</v>
          </cell>
          <cell r="I98">
            <v>-0.34668702290162923</v>
          </cell>
          <cell r="J98">
            <v>-0.21725894077693189</v>
          </cell>
          <cell r="K98">
            <v>-0.19285049093783863</v>
          </cell>
          <cell r="L98">
            <v>-0.13624550770766602</v>
          </cell>
          <cell r="M98">
            <v>-6.4402785524430642E-2</v>
          </cell>
          <cell r="N98">
            <v>1.7717388913785076E-2</v>
          </cell>
        </row>
        <row r="99">
          <cell r="C99">
            <v>-0.14395148695757901</v>
          </cell>
          <cell r="D99">
            <v>-0.16415049726723199</v>
          </cell>
          <cell r="E99">
            <v>-0.14740786338637901</v>
          </cell>
          <cell r="F99">
            <v>-0.15823894269025199</v>
          </cell>
          <cell r="G99">
            <v>-0.148396863026384</v>
          </cell>
          <cell r="H99">
            <v>-0.143756379820726</v>
          </cell>
          <cell r="I99">
            <v>-0.120944583163035</v>
          </cell>
          <cell r="J99">
            <v>-0.13921860733399399</v>
          </cell>
          <cell r="K99">
            <v>-0.18848451992970999</v>
          </cell>
          <cell r="L99">
            <v>-0.19219308591606599</v>
          </cell>
          <cell r="M99">
            <v>-0.19548810808534101</v>
          </cell>
          <cell r="N99">
            <v>-0.20766906242330199</v>
          </cell>
        </row>
        <row r="100">
          <cell r="C100">
            <v>-0.14395148695757901</v>
          </cell>
          <cell r="D100">
            <v>-0.308101984224811</v>
          </cell>
          <cell r="E100">
            <v>-0.45550984761119001</v>
          </cell>
          <cell r="F100">
            <v>-0.61374879030144203</v>
          </cell>
          <cell r="G100">
            <v>-0.76214565332782602</v>
          </cell>
          <cell r="H100">
            <v>-0.905902033148552</v>
          </cell>
          <cell r="I100">
            <v>-1.026846616311587</v>
          </cell>
          <cell r="J100">
            <v>-1.1660652236455811</v>
          </cell>
          <cell r="K100">
            <v>-1.3545497435752911</v>
          </cell>
          <cell r="L100">
            <v>-1.546742829491357</v>
          </cell>
          <cell r="M100">
            <v>-1.742230937576698</v>
          </cell>
          <cell r="N100">
            <v>-1.9499</v>
          </cell>
        </row>
        <row r="102">
          <cell r="C102">
            <v>1.02644</v>
          </cell>
          <cell r="D102">
            <v>0.71844000000000019</v>
          </cell>
          <cell r="E102">
            <v>0.72085999999999983</v>
          </cell>
          <cell r="F102">
            <v>0.80557780034246496</v>
          </cell>
          <cell r="G102">
            <v>0.79712998367722976</v>
          </cell>
          <cell r="H102">
            <v>0.85353999999999985</v>
          </cell>
          <cell r="I102">
            <v>1.0899300000000001</v>
          </cell>
          <cell r="J102">
            <v>0.99830000000000008</v>
          </cell>
          <cell r="K102">
            <v>1.0955900000000001</v>
          </cell>
          <cell r="L102">
            <v>0.98776000000000008</v>
          </cell>
          <cell r="M102">
            <v>1.09677</v>
          </cell>
          <cell r="N102">
            <v>1.1944500000000002</v>
          </cell>
        </row>
        <row r="103">
          <cell r="C103">
            <v>1.02644</v>
          </cell>
          <cell r="D103">
            <v>1.7448800000000002</v>
          </cell>
          <cell r="E103">
            <v>2.4657400000000003</v>
          </cell>
          <cell r="F103">
            <v>3.271317800342465</v>
          </cell>
          <cell r="G103">
            <v>4.0684477840196944</v>
          </cell>
          <cell r="H103">
            <v>4.9219877840196942</v>
          </cell>
          <cell r="I103">
            <v>6.011917784019694</v>
          </cell>
          <cell r="J103">
            <v>7.0102177840196944</v>
          </cell>
          <cell r="K103">
            <v>8.105807784019694</v>
          </cell>
          <cell r="L103">
            <v>9.0935677840196938</v>
          </cell>
          <cell r="M103">
            <v>10.190337784019693</v>
          </cell>
          <cell r="N103">
            <v>11.384787784019693</v>
          </cell>
        </row>
        <row r="104">
          <cell r="C104">
            <v>-0.17957000000000001</v>
          </cell>
          <cell r="D104">
            <v>-9.2969999999999997E-2</v>
          </cell>
          <cell r="E104">
            <v>-0.13905000000000001</v>
          </cell>
          <cell r="F104">
            <v>-0.24487</v>
          </cell>
          <cell r="G104">
            <v>-0.16314000000000001</v>
          </cell>
          <cell r="H104">
            <v>-0.13306000000000001</v>
          </cell>
          <cell r="I104">
            <v>-0.26800000000000002</v>
          </cell>
          <cell r="J104">
            <v>-0.25151000000000001</v>
          </cell>
          <cell r="K104">
            <v>-0.377</v>
          </cell>
          <cell r="L104">
            <v>-0.15675</v>
          </cell>
          <cell r="M104">
            <v>-0.21384</v>
          </cell>
          <cell r="N104">
            <v>-0.16746</v>
          </cell>
        </row>
        <row r="105">
          <cell r="C105">
            <v>-0.17957000000000001</v>
          </cell>
          <cell r="D105">
            <v>-0.27254</v>
          </cell>
          <cell r="E105">
            <v>-0.41159000000000001</v>
          </cell>
          <cell r="F105">
            <v>-0.65646000000000004</v>
          </cell>
          <cell r="G105">
            <v>-0.81960000000000011</v>
          </cell>
          <cell r="H105">
            <v>-0.95266000000000006</v>
          </cell>
          <cell r="I105">
            <v>-1.2206600000000001</v>
          </cell>
          <cell r="J105">
            <v>-1.4721700000000002</v>
          </cell>
          <cell r="K105">
            <v>-1.8491700000000002</v>
          </cell>
          <cell r="L105">
            <v>-2.0059200000000001</v>
          </cell>
          <cell r="M105">
            <v>-2.21976</v>
          </cell>
          <cell r="N105">
            <v>-2.3872200000000001</v>
          </cell>
        </row>
        <row r="106">
          <cell r="C106">
            <v>0.78303778069999996</v>
          </cell>
          <cell r="D106">
            <v>0.80801013340000005</v>
          </cell>
          <cell r="E106">
            <v>0.84954689999999988</v>
          </cell>
          <cell r="F106">
            <v>0.84239000000000008</v>
          </cell>
          <cell r="G106">
            <v>0.82277999999999996</v>
          </cell>
          <cell r="H106">
            <v>0.82800000000000018</v>
          </cell>
          <cell r="I106">
            <v>0.82226999999999995</v>
          </cell>
          <cell r="J106">
            <v>0.71786000000000005</v>
          </cell>
          <cell r="K106">
            <v>0.76411000000000007</v>
          </cell>
          <cell r="L106">
            <v>0.78503899999999993</v>
          </cell>
          <cell r="M106">
            <v>0.8091600000000001</v>
          </cell>
          <cell r="N106">
            <v>1.0549999999999999</v>
          </cell>
        </row>
        <row r="107">
          <cell r="C107">
            <v>0.78303778069999996</v>
          </cell>
          <cell r="D107">
            <v>1.5910479141</v>
          </cell>
          <cell r="E107">
            <v>2.4405948140999998</v>
          </cell>
          <cell r="F107">
            <v>3.2829848140999998</v>
          </cell>
          <cell r="G107">
            <v>4.1057648140999996</v>
          </cell>
          <cell r="H107">
            <v>4.9337648140999999</v>
          </cell>
          <cell r="I107">
            <v>5.7560348140999995</v>
          </cell>
          <cell r="J107">
            <v>6.4738948140999995</v>
          </cell>
          <cell r="K107">
            <v>7.2380048141</v>
          </cell>
          <cell r="L107">
            <v>8.0230438140999993</v>
          </cell>
          <cell r="M107">
            <v>8.8322038140999997</v>
          </cell>
          <cell r="N107">
            <v>9.8872038140999994</v>
          </cell>
        </row>
        <row r="108">
          <cell r="C108">
            <v>5.9232219300000048E-2</v>
          </cell>
          <cell r="D108">
            <v>-0.18714013339999985</v>
          </cell>
          <cell r="E108">
            <v>-0.27239690000000005</v>
          </cell>
          <cell r="F108">
            <v>-0.28668219965753516</v>
          </cell>
          <cell r="G108">
            <v>-0.19379001632277015</v>
          </cell>
          <cell r="H108">
            <v>-0.1125200000000004</v>
          </cell>
          <cell r="I108">
            <v>-4.9399999999998959E-3</v>
          </cell>
          <cell r="J108">
            <v>2.4330000000000011E-2</v>
          </cell>
          <cell r="K108">
            <v>-4.9520000000000008E-2</v>
          </cell>
          <cell r="L108">
            <v>4.2071000000000094E-2</v>
          </cell>
          <cell r="M108">
            <v>7.0769999999999889E-2</v>
          </cell>
          <cell r="N108">
            <v>-3.1009999999999645E-2</v>
          </cell>
        </row>
        <row r="109">
          <cell r="C109">
            <v>5.9232219300000048E-2</v>
          </cell>
          <cell r="D109">
            <v>-0.1279079140999998</v>
          </cell>
          <cell r="E109">
            <v>-0.40030481409999985</v>
          </cell>
          <cell r="F109">
            <v>-0.68698701375753501</v>
          </cell>
          <cell r="G109">
            <v>-0.88077703008030517</v>
          </cell>
          <cell r="H109">
            <v>-0.99329703008030557</v>
          </cell>
          <cell r="I109">
            <v>-0.99823703008030551</v>
          </cell>
          <cell r="J109">
            <v>-0.97390703008030555</v>
          </cell>
          <cell r="K109">
            <v>-1.0234270300803057</v>
          </cell>
          <cell r="L109">
            <v>-0.98135603008030559</v>
          </cell>
          <cell r="M109">
            <v>-0.9105860300803057</v>
          </cell>
          <cell r="N109">
            <v>-0.94159603008030535</v>
          </cell>
        </row>
        <row r="110">
          <cell r="C110">
            <v>-0.14549999999999999</v>
          </cell>
          <cell r="D110">
            <v>-0.15659999999999999</v>
          </cell>
          <cell r="E110">
            <v>-0.20448</v>
          </cell>
          <cell r="F110">
            <v>-0.16250999999999999</v>
          </cell>
          <cell r="G110">
            <v>-0.20180000000000001</v>
          </cell>
          <cell r="H110">
            <v>-0.14208000000000001</v>
          </cell>
          <cell r="I110">
            <v>-0.114</v>
          </cell>
          <cell r="J110">
            <v>-0.11765</v>
          </cell>
          <cell r="K110">
            <v>-0.128</v>
          </cell>
          <cell r="L110">
            <v>-0.21759999999999999</v>
          </cell>
          <cell r="M110">
            <v>-0.16972999999999999</v>
          </cell>
          <cell r="N110">
            <v>-9.9529999999999993E-2</v>
          </cell>
        </row>
        <row r="111">
          <cell r="C111">
            <v>-0.14549999999999999</v>
          </cell>
          <cell r="D111">
            <v>-0.30209999999999998</v>
          </cell>
          <cell r="E111">
            <v>-0.50658000000000003</v>
          </cell>
          <cell r="F111">
            <v>-0.66908999999999996</v>
          </cell>
          <cell r="G111">
            <v>-0.87088999999999994</v>
          </cell>
          <cell r="H111">
            <v>-1.0129699999999999</v>
          </cell>
          <cell r="I111">
            <v>-1.12697</v>
          </cell>
          <cell r="J111">
            <v>-1.2446200000000001</v>
          </cell>
          <cell r="K111">
            <v>-1.37262</v>
          </cell>
          <cell r="L111">
            <v>-1.59022</v>
          </cell>
          <cell r="M111">
            <v>-1.7599499999999999</v>
          </cell>
          <cell r="N111">
            <v>-1.8594799999999998</v>
          </cell>
        </row>
        <row r="113">
          <cell r="C113">
            <v>1.2648764473514551</v>
          </cell>
          <cell r="D113">
            <v>1.2714423204143737</v>
          </cell>
          <cell r="E113">
            <v>1.361203123070359</v>
          </cell>
          <cell r="F113">
            <v>1.3965422750127698</v>
          </cell>
          <cell r="G113">
            <v>1.4508700686565881</v>
          </cell>
          <cell r="H113">
            <v>1.5186012923056604</v>
          </cell>
          <cell r="I113">
            <v>1.5239655888599348</v>
          </cell>
          <cell r="J113">
            <v>1.5326224559088137</v>
          </cell>
          <cell r="K113">
            <v>1.5220782516936264</v>
          </cell>
          <cell r="L113">
            <v>1.7765384736934113</v>
          </cell>
          <cell r="M113">
            <v>1.5905644659646736</v>
          </cell>
          <cell r="N113">
            <v>1.8644222448665222</v>
          </cell>
        </row>
        <row r="114">
          <cell r="C114">
            <v>1.2648764473514551</v>
          </cell>
          <cell r="D114">
            <v>2.5363187677658288</v>
          </cell>
          <cell r="E114">
            <v>3.8975218908361877</v>
          </cell>
          <cell r="F114">
            <v>5.2940641658489573</v>
          </cell>
          <cell r="G114">
            <v>6.7449342345055454</v>
          </cell>
          <cell r="H114">
            <v>8.2635355268112054</v>
          </cell>
          <cell r="I114">
            <v>9.7875011156711409</v>
          </cell>
          <cell r="J114">
            <v>11.320123571579956</v>
          </cell>
          <cell r="K114">
            <v>12.842201823273582</v>
          </cell>
          <cell r="L114">
            <v>14.618740296966994</v>
          </cell>
          <cell r="M114">
            <v>16.209304762931666</v>
          </cell>
          <cell r="N114">
            <v>18.073727007798187</v>
          </cell>
        </row>
        <row r="115">
          <cell r="C115">
            <v>-0.34737296500421033</v>
          </cell>
          <cell r="D115">
            <v>-0.35763310639477974</v>
          </cell>
          <cell r="E115">
            <v>-0.36996672636792466</v>
          </cell>
          <cell r="F115">
            <v>-0.3822203963608915</v>
          </cell>
          <cell r="G115">
            <v>-0.39511052285882547</v>
          </cell>
          <cell r="H115">
            <v>-0.4082589652836579</v>
          </cell>
          <cell r="I115">
            <v>-0.42208369924704947</v>
          </cell>
          <cell r="J115">
            <v>-0.43496822357024095</v>
          </cell>
          <cell r="K115">
            <v>-0.44680725747883354</v>
          </cell>
          <cell r="L115">
            <v>-0.46264264484291967</v>
          </cell>
          <cell r="M115">
            <v>-0.4760155025115439</v>
          </cell>
          <cell r="N115">
            <v>-0.49106802889847501</v>
          </cell>
        </row>
        <row r="116">
          <cell r="C116">
            <v>-0.34737296500421033</v>
          </cell>
          <cell r="D116">
            <v>-0.70500607139899008</v>
          </cell>
          <cell r="E116">
            <v>-1.0749727977669148</v>
          </cell>
          <cell r="F116">
            <v>-1.4571931941278062</v>
          </cell>
          <cell r="G116">
            <v>-1.8523037169866317</v>
          </cell>
          <cell r="H116">
            <v>-2.2605626822702893</v>
          </cell>
          <cell r="I116">
            <v>-2.6826463815173387</v>
          </cell>
          <cell r="J116">
            <v>-3.1176146050875797</v>
          </cell>
          <cell r="K116">
            <v>-3.5644218625664132</v>
          </cell>
          <cell r="L116">
            <v>-4.0270645074093325</v>
          </cell>
          <cell r="M116">
            <v>-4.5030800099208763</v>
          </cell>
          <cell r="N116">
            <v>-4.9941480388193513</v>
          </cell>
        </row>
        <row r="117">
          <cell r="C117">
            <v>-0.8311542245477177</v>
          </cell>
          <cell r="D117">
            <v>-0.84159446244963543</v>
          </cell>
          <cell r="E117">
            <v>-0.86342876699085569</v>
          </cell>
          <cell r="F117">
            <v>-0.90888302720250358</v>
          </cell>
          <cell r="G117">
            <v>-0.91272667634309845</v>
          </cell>
          <cell r="H117">
            <v>-0.93529712878270743</v>
          </cell>
          <cell r="I117">
            <v>-0.94533753215321303</v>
          </cell>
          <cell r="J117">
            <v>-0.95481883043491977</v>
          </cell>
          <cell r="K117">
            <v>-1.0066985613918675</v>
          </cell>
          <cell r="L117">
            <v>-1.0517921981589344</v>
          </cell>
          <cell r="M117">
            <v>-1.0562793031311331</v>
          </cell>
          <cell r="N117">
            <v>-1.0784254361942294</v>
          </cell>
        </row>
        <row r="118">
          <cell r="C118">
            <v>-0.8311542245477177</v>
          </cell>
          <cell r="D118">
            <v>-1.6727486869973531</v>
          </cell>
          <cell r="E118">
            <v>-2.5361774539882087</v>
          </cell>
          <cell r="F118">
            <v>-3.4450604811907124</v>
          </cell>
          <cell r="G118">
            <v>-4.357787157533811</v>
          </cell>
          <cell r="H118">
            <v>-5.2930842863165184</v>
          </cell>
          <cell r="I118">
            <v>-6.2384218184697318</v>
          </cell>
          <cell r="J118">
            <v>-7.1932406489046512</v>
          </cell>
          <cell r="K118">
            <v>-8.1999392102965185</v>
          </cell>
          <cell r="L118">
            <v>-9.2517314084554521</v>
          </cell>
          <cell r="M118">
            <v>-10.308010711586585</v>
          </cell>
          <cell r="N118">
            <v>-11.386436147780813</v>
          </cell>
        </row>
        <row r="119">
          <cell r="C119">
            <v>8.5257081744678859E-2</v>
          </cell>
          <cell r="D119">
            <v>7.1122575515110281E-2</v>
          </cell>
          <cell r="E119">
            <v>0.12671545365673034</v>
          </cell>
          <cell r="F119">
            <v>0.10434667539452661</v>
          </cell>
          <cell r="G119">
            <v>0.14194069339981599</v>
          </cell>
          <cell r="H119">
            <v>0.17395302218444689</v>
          </cell>
          <cell r="I119">
            <v>0.155452181404824</v>
          </cell>
          <cell r="J119">
            <v>0.14174322584880475</v>
          </cell>
          <cell r="K119">
            <v>6.7480256768077146E-2</v>
          </cell>
          <cell r="L119">
            <v>0.26101145463670899</v>
          </cell>
          <cell r="M119">
            <v>5.7177484267148554E-2</v>
          </cell>
          <cell r="N119">
            <v>0.29383660371896964</v>
          </cell>
        </row>
        <row r="120">
          <cell r="C120">
            <v>8.5257081744678859E-2</v>
          </cell>
          <cell r="D120">
            <v>0.15637965725978914</v>
          </cell>
          <cell r="E120">
            <v>0.28309511091651951</v>
          </cell>
          <cell r="F120">
            <v>0.38744178631104609</v>
          </cell>
          <cell r="G120">
            <v>0.52938247971086205</v>
          </cell>
          <cell r="H120">
            <v>0.70333550189530891</v>
          </cell>
          <cell r="I120">
            <v>0.85878768330013289</v>
          </cell>
          <cell r="J120">
            <v>1.0005309091489376</v>
          </cell>
          <cell r="K120">
            <v>1.0680111659170148</v>
          </cell>
          <cell r="L120">
            <v>1.3290226205537239</v>
          </cell>
          <cell r="M120">
            <v>1.3862001048208725</v>
          </cell>
          <cell r="N120">
            <v>1.6800367085398422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4">
          <cell r="C124">
            <v>0.80725396507902603</v>
          </cell>
          <cell r="D124">
            <v>0.86217819337932022</v>
          </cell>
          <cell r="E124">
            <v>0.86501724981589312</v>
          </cell>
          <cell r="F124">
            <v>0.97738188984880925</v>
          </cell>
          <cell r="G124">
            <v>0.91804666920171751</v>
          </cell>
          <cell r="H124">
            <v>0.94279014795898208</v>
          </cell>
          <cell r="I124">
            <v>0.9191547131895188</v>
          </cell>
          <cell r="J124">
            <v>0.94842189302391144</v>
          </cell>
          <cell r="K124">
            <v>0.95079333539266764</v>
          </cell>
          <cell r="L124">
            <v>1.0753099497867118</v>
          </cell>
          <cell r="M124">
            <v>1.0544322999999993</v>
          </cell>
          <cell r="N124">
            <v>1.1240346880239782</v>
          </cell>
        </row>
        <row r="125">
          <cell r="C125">
            <v>0.80725396507902603</v>
          </cell>
          <cell r="D125">
            <v>1.6694321584583462</v>
          </cell>
          <cell r="E125">
            <v>2.5344494082742393</v>
          </cell>
          <cell r="F125">
            <v>3.5118312981230484</v>
          </cell>
          <cell r="G125">
            <v>4.4298779673247655</v>
          </cell>
          <cell r="H125">
            <v>5.3726681152837479</v>
          </cell>
          <cell r="I125">
            <v>6.2918228284732667</v>
          </cell>
          <cell r="J125">
            <v>7.2402447214971781</v>
          </cell>
          <cell r="K125">
            <v>8.1910380568898464</v>
          </cell>
          <cell r="L125">
            <v>9.2663480066765587</v>
          </cell>
          <cell r="M125">
            <v>10.320780306676557</v>
          </cell>
          <cell r="N125">
            <v>11.444814994700536</v>
          </cell>
        </row>
        <row r="126">
          <cell r="C126">
            <v>-0.12477062103624749</v>
          </cell>
          <cell r="D126">
            <v>-0.17263557088997866</v>
          </cell>
          <cell r="E126">
            <v>-0.20709996527479821</v>
          </cell>
          <cell r="F126">
            <v>-0.22009278348111694</v>
          </cell>
          <cell r="G126">
            <v>-0.22237966650909888</v>
          </cell>
          <cell r="H126">
            <v>-0.20111987057475939</v>
          </cell>
          <cell r="I126">
            <v>-0.25339681294359095</v>
          </cell>
          <cell r="J126">
            <v>-0.30291429464526431</v>
          </cell>
          <cell r="K126">
            <v>-0.36588921909226346</v>
          </cell>
          <cell r="L126">
            <v>-0.35588331835170406</v>
          </cell>
          <cell r="M126">
            <v>-0.2608695652173913</v>
          </cell>
          <cell r="N126">
            <v>-0.37168235658496634</v>
          </cell>
        </row>
        <row r="127">
          <cell r="C127">
            <v>-0.12477062103624749</v>
          </cell>
          <cell r="D127">
            <v>-0.29740619192622614</v>
          </cell>
          <cell r="E127">
            <v>-0.50450615720102432</v>
          </cell>
          <cell r="F127">
            <v>-0.72459894068214126</v>
          </cell>
          <cell r="G127">
            <v>-0.94697860719124016</v>
          </cell>
          <cell r="H127">
            <v>-1.1480984777659995</v>
          </cell>
          <cell r="I127">
            <v>-1.4014952907095903</v>
          </cell>
          <cell r="J127">
            <v>-1.7044095853548547</v>
          </cell>
          <cell r="K127">
            <v>-2.070298804447118</v>
          </cell>
          <cell r="L127">
            <v>-2.4261821227988221</v>
          </cell>
          <cell r="M127">
            <v>-2.6870516880162132</v>
          </cell>
          <cell r="N127">
            <v>-3.0587340446011795</v>
          </cell>
        </row>
        <row r="128">
          <cell r="C128">
            <v>-0.62787748923250208</v>
          </cell>
          <cell r="D128">
            <v>-0.57048590183941428</v>
          </cell>
          <cell r="E128">
            <v>-0.49620089378843296</v>
          </cell>
          <cell r="F128">
            <v>-0.58184092616898508</v>
          </cell>
          <cell r="G128">
            <v>-0.51904748200812278</v>
          </cell>
          <cell r="H128">
            <v>-0.57679814173478239</v>
          </cell>
          <cell r="I128">
            <v>-0.62741116580303147</v>
          </cell>
          <cell r="J128">
            <v>-0.60980734058937447</v>
          </cell>
          <cell r="K128">
            <v>-0.54865128193337476</v>
          </cell>
          <cell r="L128">
            <v>-0.65855863521445268</v>
          </cell>
          <cell r="M128">
            <v>-0.73070464347826092</v>
          </cell>
          <cell r="N128">
            <v>-0.68072154370044669</v>
          </cell>
        </row>
        <row r="129">
          <cell r="C129">
            <v>-0.62787748923250208</v>
          </cell>
          <cell r="D129">
            <v>-1.1983633910719163</v>
          </cell>
          <cell r="E129">
            <v>-1.6945642848603493</v>
          </cell>
          <cell r="F129">
            <v>-2.2764052110293345</v>
          </cell>
          <cell r="G129">
            <v>-2.7954526930374572</v>
          </cell>
          <cell r="H129">
            <v>-3.3722508347722395</v>
          </cell>
          <cell r="I129">
            <v>-3.9996620005752712</v>
          </cell>
          <cell r="J129">
            <v>-4.6094693411646457</v>
          </cell>
          <cell r="K129">
            <v>-5.1581206230980206</v>
          </cell>
          <cell r="L129">
            <v>-5.8166792583124733</v>
          </cell>
          <cell r="M129">
            <v>-6.5473839017907345</v>
          </cell>
          <cell r="N129">
            <v>-7.2281054454911811</v>
          </cell>
        </row>
        <row r="130">
          <cell r="C130">
            <v>5.3659614383636929E-2</v>
          </cell>
          <cell r="D130">
            <v>0.1179927503629752</v>
          </cell>
          <cell r="E130">
            <v>0.16066525609714477</v>
          </cell>
          <cell r="F130">
            <v>0.17439316055013976</v>
          </cell>
          <cell r="G130">
            <v>0.17549218319283333</v>
          </cell>
          <cell r="H130">
            <v>0.16367978316951756</v>
          </cell>
          <cell r="I130">
            <v>3.7165508775492323E-2</v>
          </cell>
          <cell r="J130">
            <v>3.4527166260619864E-2</v>
          </cell>
          <cell r="K130">
            <v>3.5227317776950005E-2</v>
          </cell>
          <cell r="L130">
            <v>6.0026774802530478E-2</v>
          </cell>
          <cell r="M130">
            <v>6.2035915217390533E-2</v>
          </cell>
          <cell r="N130">
            <v>7.0803901627137053E-2</v>
          </cell>
        </row>
        <row r="131">
          <cell r="C131">
            <v>5.3659614383636929E-2</v>
          </cell>
          <cell r="D131">
            <v>0.17165236474661213</v>
          </cell>
          <cell r="E131">
            <v>0.33231762084375693</v>
          </cell>
          <cell r="F131">
            <v>0.50671078139389669</v>
          </cell>
          <cell r="G131">
            <v>0.68220296458673002</v>
          </cell>
          <cell r="H131">
            <v>0.84588274775624761</v>
          </cell>
          <cell r="I131">
            <v>0.88304825653173991</v>
          </cell>
          <cell r="J131">
            <v>0.91757542279235982</v>
          </cell>
          <cell r="K131">
            <v>0.9528027405693098</v>
          </cell>
          <cell r="L131">
            <v>1.0128295153718403</v>
          </cell>
          <cell r="M131">
            <v>1.0748654305892309</v>
          </cell>
          <cell r="N131">
            <v>1.145669332216368</v>
          </cell>
        </row>
        <row r="132">
          <cell r="C132">
            <v>-0.16952637182938265</v>
          </cell>
          <cell r="D132">
            <v>-0.14340956485618933</v>
          </cell>
          <cell r="E132">
            <v>-0.20096482859408704</v>
          </cell>
          <cell r="F132">
            <v>-0.15904454032661602</v>
          </cell>
          <cell r="G132">
            <v>-0.19936467405004762</v>
          </cell>
          <cell r="H132">
            <v>-0.23283748703314477</v>
          </cell>
          <cell r="I132">
            <v>-0.19932501136345257</v>
          </cell>
          <cell r="J132">
            <v>-0.21150913030943949</v>
          </cell>
          <cell r="K132">
            <v>-0.2262611090851161</v>
          </cell>
          <cell r="L132">
            <v>-0.23290951479541044</v>
          </cell>
          <cell r="M132">
            <v>-0.2314426065217392</v>
          </cell>
          <cell r="N132">
            <v>-0.2879640300823646</v>
          </cell>
        </row>
        <row r="133">
          <cell r="C133">
            <v>-0.16952637182938265</v>
          </cell>
          <cell r="D133">
            <v>-0.31293593668557196</v>
          </cell>
          <cell r="E133">
            <v>-0.513900765279659</v>
          </cell>
          <cell r="F133">
            <v>-0.67294530560627508</v>
          </cell>
          <cell r="G133">
            <v>-0.87230997965632273</v>
          </cell>
          <cell r="H133">
            <v>-1.1051474666894676</v>
          </cell>
          <cell r="I133">
            <v>-1.3044724780529202</v>
          </cell>
          <cell r="J133">
            <v>-1.5159816083623596</v>
          </cell>
          <cell r="K133">
            <v>-1.7422427174474757</v>
          </cell>
          <cell r="L133">
            <v>-1.9751522322428863</v>
          </cell>
          <cell r="M133">
            <v>-2.2065948387646257</v>
          </cell>
          <cell r="N133">
            <v>-2.4945588688469904</v>
          </cell>
        </row>
        <row r="134">
          <cell r="C134">
            <v>1962.7982242000005</v>
          </cell>
          <cell r="D134">
            <v>1692.281722981</v>
          </cell>
          <cell r="E134">
            <v>1964.61051453</v>
          </cell>
          <cell r="F134">
            <v>1914.1380938299999</v>
          </cell>
          <cell r="G134">
            <v>1958.3739437779996</v>
          </cell>
          <cell r="H134">
            <v>2027.6760280300002</v>
          </cell>
          <cell r="I134">
            <v>2001.8068531899999</v>
          </cell>
          <cell r="J134">
            <v>2803.6060000000002</v>
          </cell>
          <cell r="K134">
            <v>1932.8472564890003</v>
          </cell>
          <cell r="L134">
            <v>2023.2826941430001</v>
          </cell>
          <cell r="M134">
            <v>1924.66</v>
          </cell>
          <cell r="N134">
            <v>0</v>
          </cell>
        </row>
        <row r="135">
          <cell r="C135">
            <v>1962.7982242000005</v>
          </cell>
          <cell r="D135">
            <v>3655.0799471810005</v>
          </cell>
          <cell r="E135">
            <v>5619.6904617110004</v>
          </cell>
          <cell r="F135">
            <v>7533.8285555410002</v>
          </cell>
          <cell r="G135">
            <v>9492.2024993189989</v>
          </cell>
          <cell r="H135">
            <v>11519.878527348999</v>
          </cell>
          <cell r="I135">
            <v>13521.685380538998</v>
          </cell>
          <cell r="J135">
            <v>16325.291380538998</v>
          </cell>
          <cell r="K135">
            <v>18258.138637027998</v>
          </cell>
          <cell r="L135">
            <v>20281.421331170997</v>
          </cell>
          <cell r="M135">
            <v>22206.081331170997</v>
          </cell>
          <cell r="N135">
            <v>22206.081331170997</v>
          </cell>
        </row>
        <row r="136">
          <cell r="C136">
            <v>0.21904257035375221</v>
          </cell>
          <cell r="D136">
            <v>0.20998244878360481</v>
          </cell>
          <cell r="E136">
            <v>0.20781747689461949</v>
          </cell>
          <cell r="F136">
            <v>0.22088172203210998</v>
          </cell>
          <cell r="G136">
            <v>0.212022704837703</v>
          </cell>
          <cell r="H136">
            <v>0.20347111766516091</v>
          </cell>
          <cell r="I136">
            <v>0.19807517653119944</v>
          </cell>
          <cell r="J136">
            <v>0.191442752923001</v>
          </cell>
          <cell r="K136">
            <v>0.20163571515149278</v>
          </cell>
          <cell r="L136">
            <v>0.21251305728743738</v>
          </cell>
          <cell r="M136">
            <v>0.20701093988334351</v>
          </cell>
          <cell r="N136">
            <v>0</v>
          </cell>
        </row>
        <row r="137">
          <cell r="C137">
            <v>429.93636811454854</v>
          </cell>
          <cell r="D137">
            <v>355.34946022328836</v>
          </cell>
          <cell r="E137">
            <v>408.28040021026482</v>
          </cell>
          <cell r="F137">
            <v>422.79811837243091</v>
          </cell>
          <cell r="G137">
            <v>415.21974064349115</v>
          </cell>
          <cell r="H137">
            <v>412.57350768611826</v>
          </cell>
          <cell r="I137">
            <v>396.50824582697408</v>
          </cell>
          <cell r="J137">
            <v>536.73005075144317</v>
          </cell>
          <cell r="K137">
            <v>389.73103884076039</v>
          </cell>
          <cell r="L137">
            <v>429.97399108909201</v>
          </cell>
          <cell r="M137">
            <v>398.42567555587596</v>
          </cell>
          <cell r="N137">
            <v>0</v>
          </cell>
        </row>
        <row r="138">
          <cell r="C138">
            <v>429.93636811454854</v>
          </cell>
          <cell r="D138">
            <v>785.28582833783685</v>
          </cell>
          <cell r="E138">
            <v>1193.5662285481017</v>
          </cell>
          <cell r="F138">
            <v>1616.3643469205326</v>
          </cell>
          <cell r="G138">
            <v>2031.5840875640238</v>
          </cell>
          <cell r="H138">
            <v>2444.1575952501421</v>
          </cell>
          <cell r="I138">
            <v>2840.6658410771161</v>
          </cell>
          <cell r="J138">
            <v>3377.3958918285593</v>
          </cell>
          <cell r="K138">
            <v>3767.1269306693198</v>
          </cell>
          <cell r="L138">
            <v>4197.1009217584115</v>
          </cell>
          <cell r="M138">
            <v>4595.5265973142878</v>
          </cell>
          <cell r="N138">
            <v>4595.5265973142878</v>
          </cell>
        </row>
        <row r="139">
          <cell r="C139">
            <v>1891.6782800000001</v>
          </cell>
          <cell r="D139">
            <v>1645.0955789999998</v>
          </cell>
          <cell r="E139">
            <v>1836.5083999999999</v>
          </cell>
          <cell r="F139">
            <v>1802.8328383599999</v>
          </cell>
          <cell r="G139">
            <v>1846.4400501099999</v>
          </cell>
          <cell r="H139">
            <v>1899.75971907589</v>
          </cell>
          <cell r="I139">
            <v>1853.3817056600001</v>
          </cell>
          <cell r="J139">
            <v>1894.40455294</v>
          </cell>
          <cell r="K139">
            <v>1811.4562744899999</v>
          </cell>
          <cell r="L139">
            <v>1898.32391826</v>
          </cell>
          <cell r="M139">
            <v>1900.9857438247011</v>
          </cell>
          <cell r="N139">
            <v>2538.9319999999998</v>
          </cell>
        </row>
        <row r="140">
          <cell r="C140">
            <v>1891.6782800000001</v>
          </cell>
          <cell r="D140">
            <v>3536.7738589999999</v>
          </cell>
          <cell r="E140">
            <v>5373.2822589999996</v>
          </cell>
          <cell r="F140">
            <v>7176.1150973599997</v>
          </cell>
          <cell r="G140">
            <v>9022.5551474700005</v>
          </cell>
          <cell r="H140">
            <v>10922.31486654589</v>
          </cell>
          <cell r="I140">
            <v>12775.69657220589</v>
          </cell>
          <cell r="J140">
            <v>14670.101125145891</v>
          </cell>
          <cell r="K140">
            <v>16481.557399635891</v>
          </cell>
          <cell r="L140">
            <v>18379.881317895892</v>
          </cell>
          <cell r="M140">
            <v>20280.867061720593</v>
          </cell>
          <cell r="N140">
            <v>22819.799061720594</v>
          </cell>
        </row>
        <row r="141">
          <cell r="C141">
            <v>0.21404257035375221</v>
          </cell>
          <cell r="D141">
            <v>0.2049824487836048</v>
          </cell>
          <cell r="E141">
            <v>0.20281747689461949</v>
          </cell>
          <cell r="F141">
            <v>0.21588172203210998</v>
          </cell>
          <cell r="G141">
            <v>0.20702270483770299</v>
          </cell>
          <cell r="H141">
            <v>0.1984711176651609</v>
          </cell>
          <cell r="I141">
            <v>0.19307517653119943</v>
          </cell>
          <cell r="J141">
            <v>0.186442752923001</v>
          </cell>
          <cell r="K141">
            <v>0.19663571515149278</v>
          </cell>
          <cell r="L141">
            <v>0.20751305728743738</v>
          </cell>
          <cell r="M141">
            <v>0.20201093988334351</v>
          </cell>
          <cell r="N141">
            <v>0.18867291935875011</v>
          </cell>
        </row>
        <row r="142">
          <cell r="C142">
            <v>404.89968133356501</v>
          </cell>
          <cell r="D142">
            <v>337.21572026650216</v>
          </cell>
          <cell r="E142">
            <v>372.47599998377461</v>
          </cell>
          <cell r="F142">
            <v>389.19865768119337</v>
          </cell>
          <cell r="G142">
            <v>382.25501349443601</v>
          </cell>
          <cell r="H142">
            <v>377.047434740244</v>
          </cell>
          <cell r="I142">
            <v>357.84200000000004</v>
          </cell>
          <cell r="J142">
            <v>353.1980000000006</v>
          </cell>
          <cell r="K142">
            <v>356.19699999999995</v>
          </cell>
          <cell r="L142">
            <v>393.92699999999996</v>
          </cell>
          <cell r="M142">
            <v>384.01991681486476</v>
          </cell>
          <cell r="N142">
            <v>479.02771249335007</v>
          </cell>
        </row>
        <row r="143">
          <cell r="C143">
            <v>404.89968133356501</v>
          </cell>
          <cell r="D143">
            <v>742.11540160006712</v>
          </cell>
          <cell r="E143">
            <v>1114.5914015838416</v>
          </cell>
          <cell r="F143">
            <v>1503.7900592650349</v>
          </cell>
          <cell r="G143">
            <v>1886.0450727594709</v>
          </cell>
          <cell r="H143">
            <v>2263.0925074997149</v>
          </cell>
          <cell r="I143">
            <v>2620.934507499715</v>
          </cell>
          <cell r="J143">
            <v>2974.1325074997158</v>
          </cell>
          <cell r="K143">
            <v>3330.3295074997159</v>
          </cell>
          <cell r="L143">
            <v>3724.256507499716</v>
          </cell>
          <cell r="M143">
            <v>4108.2764243145812</v>
          </cell>
          <cell r="N143">
            <v>4587.3041368079312</v>
          </cell>
        </row>
        <row r="144">
          <cell r="C144">
            <v>796.83944269913388</v>
          </cell>
          <cell r="D144">
            <v>673.34443421861124</v>
          </cell>
          <cell r="E144">
            <v>750.66099877495094</v>
          </cell>
          <cell r="F144">
            <v>721.17161342142253</v>
          </cell>
          <cell r="G144">
            <v>764.08506038442886</v>
          </cell>
          <cell r="H144">
            <v>753.30520729760917</v>
          </cell>
          <cell r="I144">
            <v>864.12698188680895</v>
          </cell>
          <cell r="J144">
            <v>816.6235875265952</v>
          </cell>
          <cell r="K144">
            <v>783.90125887300087</v>
          </cell>
          <cell r="L144">
            <v>776.70904410579988</v>
          </cell>
          <cell r="M144">
            <v>745.85200985560436</v>
          </cell>
          <cell r="N144">
            <v>1231.6518019560403</v>
          </cell>
        </row>
        <row r="145">
          <cell r="C145">
            <v>796.83944269913388</v>
          </cell>
          <cell r="D145">
            <v>1470.1838769177452</v>
          </cell>
          <cell r="E145">
            <v>2220.8448756926964</v>
          </cell>
          <cell r="F145">
            <v>2942.0164891141189</v>
          </cell>
          <cell r="G145">
            <v>3706.1015494985477</v>
          </cell>
          <cell r="H145">
            <v>4459.4067567961565</v>
          </cell>
          <cell r="I145">
            <v>5323.5337386829651</v>
          </cell>
          <cell r="J145">
            <v>6140.1573262095608</v>
          </cell>
          <cell r="K145">
            <v>6924.0585850825619</v>
          </cell>
          <cell r="L145">
            <v>7700.7676291883618</v>
          </cell>
          <cell r="M145">
            <v>8446.6196390439654</v>
          </cell>
          <cell r="N145">
            <v>9678.2714410000062</v>
          </cell>
        </row>
        <row r="146">
          <cell r="C146">
            <v>0.13715693489995306</v>
          </cell>
          <cell r="D146">
            <v>0.14269583950968709</v>
          </cell>
          <cell r="E146">
            <v>0.15474230351112805</v>
          </cell>
          <cell r="F146">
            <v>0.14015640072973162</v>
          </cell>
          <cell r="G146">
            <v>0.14409555211650096</v>
          </cell>
          <cell r="H146">
            <v>0.15044808179272984</v>
          </cell>
          <cell r="I146">
            <v>0.12727533951255143</v>
          </cell>
          <cell r="J146">
            <v>0.13021598039762339</v>
          </cell>
          <cell r="K146">
            <v>0.14211058642074195</v>
          </cell>
          <cell r="L146">
            <v>0.14633177933604458</v>
          </cell>
          <cell r="M146">
            <v>0.14824261403082037</v>
          </cell>
          <cell r="N146">
            <v>0.12967226120700009</v>
          </cell>
        </row>
        <row r="147">
          <cell r="C147">
            <v>109.29205556799998</v>
          </cell>
          <cell r="D147">
            <v>96.08344932</v>
          </cell>
          <cell r="E147">
            <v>116.15901210639998</v>
          </cell>
          <cell r="F147">
            <v>101.0768176456</v>
          </cell>
          <cell r="G147">
            <v>110.10125864006426</v>
          </cell>
          <cell r="H147">
            <v>113.33332344240002</v>
          </cell>
          <cell r="I147">
            <v>109.98205500159999</v>
          </cell>
          <cell r="J147">
            <v>106.3374410656</v>
          </cell>
          <cell r="K147">
            <v>111.40066759440001</v>
          </cell>
          <cell r="L147">
            <v>113.65721645040003</v>
          </cell>
          <cell r="M147">
            <v>110.56705162113599</v>
          </cell>
          <cell r="N147">
            <v>159.711074179316</v>
          </cell>
        </row>
        <row r="148">
          <cell r="C148">
            <v>109.29205556799998</v>
          </cell>
          <cell r="D148">
            <v>205.37550488799997</v>
          </cell>
          <cell r="E148">
            <v>321.53451699439995</v>
          </cell>
          <cell r="F148">
            <v>422.61133463999994</v>
          </cell>
          <cell r="G148">
            <v>532.7125932800642</v>
          </cell>
          <cell r="H148">
            <v>646.0459167224642</v>
          </cell>
          <cell r="I148">
            <v>756.02797172406417</v>
          </cell>
          <cell r="J148">
            <v>862.36541278966422</v>
          </cell>
          <cell r="K148">
            <v>973.76608038406425</v>
          </cell>
          <cell r="L148">
            <v>1087.4232968344643</v>
          </cell>
          <cell r="M148">
            <v>1197.9903484556003</v>
          </cell>
          <cell r="N148">
            <v>1357.7014226349163</v>
          </cell>
        </row>
        <row r="149">
          <cell r="C149">
            <v>743.69968724</v>
          </cell>
          <cell r="D149">
            <v>615.992256</v>
          </cell>
          <cell r="E149">
            <v>751.07164181799999</v>
          </cell>
          <cell r="F149">
            <v>672.94990177</v>
          </cell>
          <cell r="G149">
            <v>708.12034137400087</v>
          </cell>
          <cell r="H149">
            <v>760.86494500000003</v>
          </cell>
          <cell r="I149">
            <v>809.41116399999999</v>
          </cell>
          <cell r="J149">
            <v>791.26835327999993</v>
          </cell>
          <cell r="K149">
            <v>744.74773300000004</v>
          </cell>
          <cell r="L149">
            <v>736.25982899999997</v>
          </cell>
          <cell r="M149">
            <v>725.44239532699999</v>
          </cell>
          <cell r="N149">
            <v>1170.8174599660001</v>
          </cell>
        </row>
        <row r="150">
          <cell r="C150">
            <v>743.69968724</v>
          </cell>
          <cell r="D150">
            <v>1359.69194324</v>
          </cell>
          <cell r="E150">
            <v>2110.763585058</v>
          </cell>
          <cell r="F150">
            <v>2783.713486828</v>
          </cell>
          <cell r="G150">
            <v>3491.8338282020009</v>
          </cell>
          <cell r="H150">
            <v>4252.6987732020007</v>
          </cell>
          <cell r="I150">
            <v>5062.1099372020008</v>
          </cell>
          <cell r="J150">
            <v>5853.3782904820009</v>
          </cell>
          <cell r="K150">
            <v>6598.1260234820011</v>
          </cell>
          <cell r="L150">
            <v>7334.3858524820007</v>
          </cell>
          <cell r="M150">
            <v>8059.8282478090005</v>
          </cell>
          <cell r="N150">
            <v>9230.6457077750001</v>
          </cell>
        </row>
        <row r="151">
          <cell r="C151">
            <v>0.14090886061672078</v>
          </cell>
          <cell r="D151">
            <v>0.15303006465068289</v>
          </cell>
          <cell r="E151">
            <v>0.14843328848117376</v>
          </cell>
          <cell r="F151">
            <v>0.14304399202200954</v>
          </cell>
          <cell r="G151">
            <v>0.14794317322776795</v>
          </cell>
          <cell r="H151">
            <v>0.14212705679323945</v>
          </cell>
          <cell r="I151">
            <v>0.13004287301873688</v>
          </cell>
          <cell r="J151">
            <v>0.13014206767291275</v>
          </cell>
          <cell r="K151">
            <v>0.14296146363697626</v>
          </cell>
          <cell r="L151">
            <v>0.14729437122393921</v>
          </cell>
          <cell r="M151">
            <v>0.14611725138040721</v>
          </cell>
          <cell r="N151">
            <v>0.12840710913583903</v>
          </cell>
        </row>
        <row r="152">
          <cell r="C152">
            <v>104.79387557</v>
          </cell>
          <cell r="D152">
            <v>94.265334760000002</v>
          </cell>
          <cell r="E152">
            <v>111.48403368000001</v>
          </cell>
          <cell r="F152">
            <v>96.261440379999982</v>
          </cell>
          <cell r="G152">
            <v>104.76157032999998</v>
          </cell>
          <cell r="H152">
            <v>108.13949525000001</v>
          </cell>
          <cell r="I152">
            <v>105.25815322000001</v>
          </cell>
          <cell r="J152">
            <v>102.97729957999999</v>
          </cell>
          <cell r="K152">
            <v>106.47022595000001</v>
          </cell>
          <cell r="L152">
            <v>108.44692857</v>
          </cell>
          <cell r="M152">
            <v>105.99964884000001</v>
          </cell>
          <cell r="N152">
            <v>150.34128536000003</v>
          </cell>
        </row>
        <row r="153">
          <cell r="C153">
            <v>104.79387557</v>
          </cell>
          <cell r="D153">
            <v>199.05921032999998</v>
          </cell>
          <cell r="E153">
            <v>310.54324400999997</v>
          </cell>
          <cell r="F153">
            <v>406.80468438999992</v>
          </cell>
          <cell r="G153">
            <v>511.5662547199999</v>
          </cell>
          <cell r="H153">
            <v>619.70574996999994</v>
          </cell>
          <cell r="I153">
            <v>724.96390319</v>
          </cell>
          <cell r="J153">
            <v>827.94120277000002</v>
          </cell>
          <cell r="K153">
            <v>934.41142872</v>
          </cell>
          <cell r="L153">
            <v>1042.85835729</v>
          </cell>
          <cell r="M153">
            <v>1148.8580061299999</v>
          </cell>
          <cell r="N153">
            <v>1299.19929149</v>
          </cell>
        </row>
        <row r="154">
          <cell r="C154">
            <v>350.94298592516805</v>
          </cell>
          <cell r="D154">
            <v>342.91413337537892</v>
          </cell>
          <cell r="E154">
            <v>393.04548281947712</v>
          </cell>
          <cell r="F154">
            <v>378.93524489546132</v>
          </cell>
          <cell r="G154">
            <v>368.74462186423034</v>
          </cell>
          <cell r="H154">
            <v>375.74569864365424</v>
          </cell>
          <cell r="I154">
            <v>374.27893817069474</v>
          </cell>
          <cell r="J154">
            <v>374.54869470215613</v>
          </cell>
          <cell r="K154">
            <v>376.80643612971568</v>
          </cell>
          <cell r="L154">
            <v>377.95278540655949</v>
          </cell>
          <cell r="M154">
            <v>380.07409819488691</v>
          </cell>
          <cell r="N154">
            <v>512.52308376093004</v>
          </cell>
        </row>
        <row r="155">
          <cell r="C155">
            <v>350.94298592516805</v>
          </cell>
          <cell r="D155">
            <v>693.85711930054697</v>
          </cell>
          <cell r="E155">
            <v>1086.9026021200241</v>
          </cell>
          <cell r="F155">
            <v>1465.8378470154853</v>
          </cell>
          <cell r="G155">
            <v>1834.5824688797156</v>
          </cell>
          <cell r="H155">
            <v>2210.3281675233698</v>
          </cell>
          <cell r="I155">
            <v>2584.6071056940646</v>
          </cell>
          <cell r="J155">
            <v>2959.1558003962209</v>
          </cell>
          <cell r="K155">
            <v>3335.9622365259365</v>
          </cell>
          <cell r="L155">
            <v>3713.9150219324961</v>
          </cell>
          <cell r="M155">
            <v>4093.9891201273831</v>
          </cell>
          <cell r="N155">
            <v>4606.5122038883128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332.35962388679246</v>
          </cell>
          <cell r="D159">
            <v>324.75592037735851</v>
          </cell>
          <cell r="E159">
            <v>372.23268188679248</v>
          </cell>
          <cell r="F159">
            <v>358.86961849056604</v>
          </cell>
          <cell r="G159">
            <v>355.85525158490572</v>
          </cell>
          <cell r="H159">
            <v>362.71670414716988</v>
          </cell>
          <cell r="I159">
            <v>361.53181904150949</v>
          </cell>
          <cell r="J159">
            <v>361.91200760377359</v>
          </cell>
          <cell r="K159">
            <v>365.23282494475058</v>
          </cell>
          <cell r="L159">
            <v>366.68130497358499</v>
          </cell>
          <cell r="M159">
            <v>368.96551108679245</v>
          </cell>
          <cell r="N159">
            <v>485.3836269245283</v>
          </cell>
        </row>
        <row r="160">
          <cell r="C160">
            <v>332.35962388679246</v>
          </cell>
          <cell r="D160">
            <v>657.11554426415091</v>
          </cell>
          <cell r="E160">
            <v>1029.3482261509434</v>
          </cell>
          <cell r="F160">
            <v>1388.2178446415096</v>
          </cell>
          <cell r="G160">
            <v>1744.0730962264154</v>
          </cell>
          <cell r="H160">
            <v>2106.7898003735854</v>
          </cell>
          <cell r="I160">
            <v>2468.321619415095</v>
          </cell>
          <cell r="J160">
            <v>2830.2336270188684</v>
          </cell>
          <cell r="K160">
            <v>3195.466451963619</v>
          </cell>
          <cell r="L160">
            <v>3562.1477569372041</v>
          </cell>
          <cell r="M160">
            <v>3931.1132680239966</v>
          </cell>
          <cell r="N160">
            <v>4416.4968949485246</v>
          </cell>
        </row>
        <row r="161">
          <cell r="C161">
            <v>0.40343078944798183</v>
          </cell>
          <cell r="D161">
            <v>0.41236996840828566</v>
          </cell>
          <cell r="E161">
            <v>0.41872096563354</v>
          </cell>
          <cell r="F161">
            <v>0.40762385286700775</v>
          </cell>
          <cell r="G161">
            <v>0.42069252707969879</v>
          </cell>
          <cell r="H161">
            <v>0.42981350150907754</v>
          </cell>
          <cell r="I161">
            <v>0.41287964107594044</v>
          </cell>
          <cell r="J161">
            <v>0.41434641862160126</v>
          </cell>
          <cell r="K161">
            <v>0.40690355602065942</v>
          </cell>
          <cell r="L161">
            <v>0.41672250129681343</v>
          </cell>
          <cell r="M161">
            <v>0.40839803924526219</v>
          </cell>
          <cell r="N161">
            <v>0.403529020760521</v>
          </cell>
        </row>
        <row r="162">
          <cell r="C162">
            <v>134.084105445283</v>
          </cell>
          <cell r="D162">
            <v>133.91958862641505</v>
          </cell>
          <cell r="E162">
            <v>155.86162800000005</v>
          </cell>
          <cell r="F162">
            <v>146.2838165660377</v>
          </cell>
          <cell r="G162">
            <v>149.70564506383596</v>
          </cell>
          <cell r="H162">
            <v>155.90053666532722</v>
          </cell>
          <cell r="I162">
            <v>149.26912768339028</v>
          </cell>
          <cell r="J162">
            <v>149.95694420677731</v>
          </cell>
          <cell r="K162">
            <v>148.61453524549</v>
          </cell>
          <cell r="L162">
            <v>152.804350587372</v>
          </cell>
          <cell r="M162">
            <v>150.68479127697208</v>
          </cell>
          <cell r="N162">
            <v>195.86637966604496</v>
          </cell>
        </row>
        <row r="163">
          <cell r="C163">
            <v>134.084105445283</v>
          </cell>
          <cell r="D163">
            <v>268.00369407169808</v>
          </cell>
          <cell r="E163">
            <v>423.86532207169813</v>
          </cell>
          <cell r="F163">
            <v>570.14913863773586</v>
          </cell>
          <cell r="G163">
            <v>719.85478370157182</v>
          </cell>
          <cell r="H163">
            <v>875.75532036689901</v>
          </cell>
          <cell r="I163">
            <v>1025.0244480502893</v>
          </cell>
          <cell r="J163">
            <v>1174.9813922570665</v>
          </cell>
          <cell r="K163">
            <v>1323.5959275025566</v>
          </cell>
          <cell r="L163">
            <v>1476.4002780899286</v>
          </cell>
          <cell r="M163">
            <v>1627.0850693669008</v>
          </cell>
          <cell r="N163">
            <v>1822.9514490329457</v>
          </cell>
        </row>
        <row r="164">
          <cell r="C164">
            <v>224.51680978618631</v>
          </cell>
          <cell r="D164">
            <v>209.61417658992397</v>
          </cell>
          <cell r="E164">
            <v>241.85323165252612</v>
          </cell>
          <cell r="F164">
            <v>228.31681261699708</v>
          </cell>
          <cell r="G164">
            <v>239.48465887408511</v>
          </cell>
          <cell r="H164">
            <v>225.39490944240745</v>
          </cell>
          <cell r="I164">
            <v>233.84901396496844</v>
          </cell>
          <cell r="J164">
            <v>235.80245400348181</v>
          </cell>
          <cell r="K164">
            <v>237.77777055077098</v>
          </cell>
          <cell r="L164">
            <v>232.85239861941307</v>
          </cell>
          <cell r="M164">
            <v>239.99202666517445</v>
          </cell>
          <cell r="N164">
            <v>348.16092123406526</v>
          </cell>
        </row>
        <row r="165">
          <cell r="C165">
            <v>224.51680978618631</v>
          </cell>
          <cell r="D165">
            <v>434.13098637611029</v>
          </cell>
          <cell r="E165">
            <v>675.98421802863641</v>
          </cell>
          <cell r="F165">
            <v>904.30103064563355</v>
          </cell>
          <cell r="G165">
            <v>1143.7856895197187</v>
          </cell>
          <cell r="H165">
            <v>1369.1805989621262</v>
          </cell>
          <cell r="I165">
            <v>1603.0296129270946</v>
          </cell>
          <cell r="J165">
            <v>1838.8320669305765</v>
          </cell>
          <cell r="K165">
            <v>2076.6098374813473</v>
          </cell>
          <cell r="L165">
            <v>2309.4622361007605</v>
          </cell>
          <cell r="M165">
            <v>2549.4542627659348</v>
          </cell>
          <cell r="N165">
            <v>2897.6151840000002</v>
          </cell>
        </row>
        <row r="166">
          <cell r="C166">
            <v>9.9962403801182334E-2</v>
          </cell>
          <cell r="D166">
            <v>0.11042993549660847</v>
          </cell>
          <cell r="E166">
            <v>0.10160608494702879</v>
          </cell>
          <cell r="F166">
            <v>0.10754407316113725</v>
          </cell>
          <cell r="G166">
            <v>0.10510335032873265</v>
          </cell>
          <cell r="H166">
            <v>0.10604844652051736</v>
          </cell>
          <cell r="I166">
            <v>0.10250725283618682</v>
          </cell>
          <cell r="J166">
            <v>9.1124412130514643E-2</v>
          </cell>
          <cell r="K166">
            <v>0.11001364820356282</v>
          </cell>
          <cell r="L166">
            <v>0.11430786265381822</v>
          </cell>
          <cell r="M166">
            <v>0.11917362588008966</v>
          </cell>
          <cell r="N166">
            <v>9.412980607886054E-2</v>
          </cell>
        </row>
        <row r="167">
          <cell r="C167">
            <v>22.443240000000003</v>
          </cell>
          <cell r="D167">
            <v>23.147680000000001</v>
          </cell>
          <cell r="E167">
            <v>24.57376</v>
          </cell>
          <cell r="F167">
            <v>24.554119999999998</v>
          </cell>
          <cell r="G167">
            <v>25.170639999999999</v>
          </cell>
          <cell r="H167">
            <v>23.90278</v>
          </cell>
          <cell r="I167">
            <v>23.971220000000002</v>
          </cell>
          <cell r="J167">
            <v>21.487359999999999</v>
          </cell>
          <cell r="K167">
            <v>26.158799999999999</v>
          </cell>
          <cell r="L167">
            <v>26.616859999999999</v>
          </cell>
          <cell r="M167">
            <v>28.600720000000003</v>
          </cell>
          <cell r="N167">
            <v>32.772320000000001</v>
          </cell>
        </row>
        <row r="168">
          <cell r="C168">
            <v>22.443240000000003</v>
          </cell>
          <cell r="D168">
            <v>45.590920000000004</v>
          </cell>
          <cell r="E168">
            <v>70.164680000000004</v>
          </cell>
          <cell r="F168">
            <v>94.718800000000002</v>
          </cell>
          <cell r="G168">
            <v>119.88944000000001</v>
          </cell>
          <cell r="H168">
            <v>143.79222000000001</v>
          </cell>
          <cell r="I168">
            <v>167.76344</v>
          </cell>
          <cell r="J168">
            <v>189.2508</v>
          </cell>
          <cell r="K168">
            <v>215.40960000000001</v>
          </cell>
          <cell r="L168">
            <v>242.02646000000001</v>
          </cell>
          <cell r="M168">
            <v>270.62718000000001</v>
          </cell>
          <cell r="N168">
            <v>303.39949999999999</v>
          </cell>
        </row>
        <row r="169">
          <cell r="C169">
            <v>239.96178699000001</v>
          </cell>
          <cell r="D169">
            <v>218.60405936000001</v>
          </cell>
          <cell r="E169">
            <v>261.89367372999999</v>
          </cell>
          <cell r="F169">
            <v>242.77913505999999</v>
          </cell>
          <cell r="G169">
            <v>245.12409034999999</v>
          </cell>
          <cell r="H169">
            <v>231.23846918000001</v>
          </cell>
          <cell r="I169">
            <v>237.69616819999999</v>
          </cell>
          <cell r="J169">
            <v>247.22450308000001</v>
          </cell>
          <cell r="K169">
            <v>243.94695662000001</v>
          </cell>
          <cell r="L169">
            <v>240.41043435</v>
          </cell>
          <cell r="M169">
            <v>247.446417</v>
          </cell>
          <cell r="N169">
            <v>356.92718300000001</v>
          </cell>
        </row>
        <row r="170">
          <cell r="C170">
            <v>239.96178699000001</v>
          </cell>
          <cell r="D170">
            <v>458.56584635000002</v>
          </cell>
          <cell r="E170">
            <v>720.45952007999995</v>
          </cell>
          <cell r="F170">
            <v>963.23865513999999</v>
          </cell>
          <cell r="G170">
            <v>1208.36274549</v>
          </cell>
          <cell r="H170">
            <v>1439.60121467</v>
          </cell>
          <cell r="I170">
            <v>1677.2973828700001</v>
          </cell>
          <cell r="J170">
            <v>1924.5218859500001</v>
          </cell>
          <cell r="K170">
            <v>2168.4688425700001</v>
          </cell>
          <cell r="L170">
            <v>2408.8792769199999</v>
          </cell>
          <cell r="M170">
            <v>2656.32569392</v>
          </cell>
          <cell r="N170">
            <v>3013.2528769199998</v>
          </cell>
        </row>
        <row r="171">
          <cell r="C171">
            <v>0.10122968800450004</v>
          </cell>
          <cell r="D171">
            <v>0.10470877456262073</v>
          </cell>
          <cell r="E171">
            <v>0.10160648258893704</v>
          </cell>
          <cell r="F171">
            <v>0.1022517430662437</v>
          </cell>
          <cell r="G171">
            <v>0.11098636331971605</v>
          </cell>
          <cell r="H171">
            <v>0.10369062329908302</v>
          </cell>
          <cell r="I171">
            <v>0.10108662744526313</v>
          </cell>
          <cell r="J171">
            <v>9.4154498077674925E-2</v>
          </cell>
          <cell r="K171">
            <v>0.11582998366327395</v>
          </cell>
          <cell r="L171">
            <v>0.11811315543259822</v>
          </cell>
          <cell r="M171">
            <v>0.11595415972420405</v>
          </cell>
          <cell r="N171">
            <v>9.797788996082149E-2</v>
          </cell>
        </row>
        <row r="172">
          <cell r="C172">
            <v>24.291256829999998</v>
          </cell>
          <cell r="D172">
            <v>22.889763170000002</v>
          </cell>
          <cell r="E172">
            <v>26.610095000000001</v>
          </cell>
          <cell r="F172">
            <v>24.824589739999997</v>
          </cell>
          <cell r="G172">
            <v>27.205431350000001</v>
          </cell>
          <cell r="H172">
            <v>23.977260999999999</v>
          </cell>
          <cell r="I172">
            <v>24.027903999999999</v>
          </cell>
          <cell r="J172">
            <v>23.277298999999999</v>
          </cell>
          <cell r="K172">
            <v>28.256371999999999</v>
          </cell>
          <cell r="L172">
            <v>28.395634999999999</v>
          </cell>
          <cell r="M172">
            <v>28.69244136</v>
          </cell>
          <cell r="N172">
            <v>34.970972259999996</v>
          </cell>
        </row>
        <row r="173">
          <cell r="C173">
            <v>24.291256829999998</v>
          </cell>
          <cell r="D173">
            <v>47.181020000000004</v>
          </cell>
          <cell r="E173">
            <v>73.791115000000005</v>
          </cell>
          <cell r="F173">
            <v>98.615704739999998</v>
          </cell>
          <cell r="G173">
            <v>125.82113609</v>
          </cell>
          <cell r="H173">
            <v>149.79839708999998</v>
          </cell>
          <cell r="I173">
            <v>173.82630108999999</v>
          </cell>
          <cell r="J173">
            <v>197.10360008999999</v>
          </cell>
          <cell r="K173">
            <v>225.35997208999999</v>
          </cell>
          <cell r="L173">
            <v>253.75560708999998</v>
          </cell>
          <cell r="M173">
            <v>282.44804844999999</v>
          </cell>
          <cell r="N173">
            <v>317.41902070999998</v>
          </cell>
        </row>
        <row r="174">
          <cell r="C174">
            <v>196.9750094878089</v>
          </cell>
          <cell r="D174">
            <v>178.82416176369472</v>
          </cell>
          <cell r="E174">
            <v>199.56991016602211</v>
          </cell>
          <cell r="F174">
            <v>185.34177557880128</v>
          </cell>
          <cell r="G174">
            <v>191.02375935792386</v>
          </cell>
          <cell r="H174">
            <v>201.76939622830147</v>
          </cell>
          <cell r="I174">
            <v>190.18768607835153</v>
          </cell>
          <cell r="J174">
            <v>189.18865665777878</v>
          </cell>
          <cell r="K174">
            <v>184.05335830367372</v>
          </cell>
          <cell r="L174">
            <v>187.17086229598999</v>
          </cell>
          <cell r="M174">
            <v>185.53068777836992</v>
          </cell>
          <cell r="N174">
            <v>264.59118388148499</v>
          </cell>
        </row>
        <row r="175">
          <cell r="C175">
            <v>196.9750094878089</v>
          </cell>
          <cell r="D175">
            <v>375.79917125150359</v>
          </cell>
          <cell r="E175">
            <v>575.36908141752565</v>
          </cell>
          <cell r="F175">
            <v>760.71085699632692</v>
          </cell>
          <cell r="G175">
            <v>951.73461635425076</v>
          </cell>
          <cell r="H175">
            <v>1153.5040125825521</v>
          </cell>
          <cell r="I175">
            <v>1343.6916986609037</v>
          </cell>
          <cell r="J175">
            <v>1532.8803553186826</v>
          </cell>
          <cell r="K175">
            <v>1716.9337136223564</v>
          </cell>
          <cell r="L175">
            <v>1904.1045759183464</v>
          </cell>
          <cell r="M175">
            <v>2089.6352636967163</v>
          </cell>
          <cell r="N175">
            <v>2354.2264475782013</v>
          </cell>
        </row>
        <row r="176">
          <cell r="C176">
            <v>6.1525882612401224E-2</v>
          </cell>
          <cell r="D176">
            <v>7.0879196872571701E-2</v>
          </cell>
          <cell r="E176">
            <v>6.1567395760669663E-2</v>
          </cell>
          <cell r="F176">
            <v>6.6279898029129897E-2</v>
          </cell>
          <cell r="G176">
            <v>6.2481151006198908E-2</v>
          </cell>
          <cell r="H176">
            <v>6.0097530020367398E-2</v>
          </cell>
          <cell r="I176">
            <v>6.015657746191793E-2</v>
          </cell>
          <cell r="J176">
            <v>6.6440143731048312E-2</v>
          </cell>
          <cell r="K176">
            <v>7.0447545104879716E-2</v>
          </cell>
          <cell r="L176">
            <v>7.0060155243167152E-2</v>
          </cell>
          <cell r="M176">
            <v>7.4791590477738465E-2</v>
          </cell>
          <cell r="N176">
            <v>5.7387793768273979E-2</v>
          </cell>
        </row>
        <row r="177">
          <cell r="C177">
            <v>12.119061311323549</v>
          </cell>
          <cell r="D177">
            <v>12.674912967221527</v>
          </cell>
          <cell r="E177">
            <v>12.286999641112775</v>
          </cell>
          <cell r="F177">
            <v>12.284433985900826</v>
          </cell>
          <cell r="G177">
            <v>11.935384354214243</v>
          </cell>
          <cell r="H177">
            <v>12.125842347021752</v>
          </cell>
          <cell r="I177">
            <v>11.441040269875284</v>
          </cell>
          <cell r="J177">
            <v>12.569721540626773</v>
          </cell>
          <cell r="K177">
            <v>12.966107260802643</v>
          </cell>
          <cell r="L177">
            <v>13.113219669454519</v>
          </cell>
          <cell r="M177">
            <v>13.876135221373</v>
          </cell>
          <cell r="N177">
            <v>15.184304293494119</v>
          </cell>
        </row>
        <row r="178">
          <cell r="C178">
            <v>12.119061311323549</v>
          </cell>
          <cell r="D178">
            <v>24.793974278545075</v>
          </cell>
          <cell r="E178">
            <v>37.080973919657851</v>
          </cell>
          <cell r="F178">
            <v>49.365407905558676</v>
          </cell>
          <cell r="G178">
            <v>61.300792259772919</v>
          </cell>
          <cell r="H178">
            <v>73.426634606794664</v>
          </cell>
          <cell r="I178">
            <v>84.867674876669952</v>
          </cell>
          <cell r="J178">
            <v>97.437396417296725</v>
          </cell>
          <cell r="K178">
            <v>110.40350367809937</v>
          </cell>
          <cell r="L178">
            <v>123.51672334755389</v>
          </cell>
          <cell r="M178">
            <v>137.3928585689269</v>
          </cell>
          <cell r="N178">
            <v>152.57716286242101</v>
          </cell>
        </row>
        <row r="179">
          <cell r="C179">
            <v>196.97573446999999</v>
          </cell>
          <cell r="D179">
            <v>176.702</v>
          </cell>
          <cell r="E179">
            <v>202.32599999999999</v>
          </cell>
          <cell r="F179">
            <v>185.75590994000001</v>
          </cell>
          <cell r="G179">
            <v>190.922</v>
          </cell>
          <cell r="H179">
            <v>205.27337399999999</v>
          </cell>
          <cell r="I179">
            <v>187.25399999999999</v>
          </cell>
          <cell r="J179">
            <v>192.374</v>
          </cell>
          <cell r="K179">
            <v>188.68748389000001</v>
          </cell>
          <cell r="L179">
            <v>190.77600000000001</v>
          </cell>
          <cell r="M179">
            <v>189.071</v>
          </cell>
          <cell r="N179">
            <v>272.274</v>
          </cell>
        </row>
        <row r="180">
          <cell r="C180">
            <v>196.97573446999999</v>
          </cell>
          <cell r="D180">
            <v>373.67773447000002</v>
          </cell>
          <cell r="E180">
            <v>576.00373447000004</v>
          </cell>
          <cell r="F180">
            <v>761.75964441000008</v>
          </cell>
          <cell r="G180">
            <v>952.6816444100001</v>
          </cell>
          <cell r="H180">
            <v>1157.9550184100001</v>
          </cell>
          <cell r="I180">
            <v>1345.20901841</v>
          </cell>
          <cell r="J180">
            <v>1537.58301841</v>
          </cell>
          <cell r="K180">
            <v>1726.2705023000001</v>
          </cell>
          <cell r="L180">
            <v>1917.0465023000002</v>
          </cell>
          <cell r="M180">
            <v>2106.1175023000001</v>
          </cell>
          <cell r="N180">
            <v>2378.3915023</v>
          </cell>
        </row>
        <row r="181">
          <cell r="C181">
            <v>6.2399999999999997E-2</v>
          </cell>
          <cell r="D181">
            <v>6.2727077226064215E-2</v>
          </cell>
          <cell r="E181">
            <v>5.5500000000000001E-2</v>
          </cell>
          <cell r="F181">
            <v>6.2300000000000001E-2</v>
          </cell>
          <cell r="G181">
            <v>5.5899999999999998E-2</v>
          </cell>
          <cell r="H181">
            <v>5.16E-2</v>
          </cell>
          <cell r="I181">
            <v>5.3699999999999998E-2</v>
          </cell>
          <cell r="J181">
            <v>5.3100000000000001E-2</v>
          </cell>
          <cell r="K181">
            <v>5.16E-2</v>
          </cell>
          <cell r="L181">
            <v>6.3200000000000006E-2</v>
          </cell>
          <cell r="M181">
            <v>5.3900000000000003E-2</v>
          </cell>
          <cell r="N181">
            <v>4.9599999999999998E-2</v>
          </cell>
        </row>
        <row r="182">
          <cell r="C182">
            <v>12.291285830927999</v>
          </cell>
          <cell r="D182">
            <v>11.084</v>
          </cell>
          <cell r="E182">
            <v>11.229093000000001</v>
          </cell>
          <cell r="F182">
            <v>11.572593189262001</v>
          </cell>
          <cell r="G182">
            <v>10.672539799999999</v>
          </cell>
          <cell r="H182">
            <v>10.592106098399999</v>
          </cell>
          <cell r="I182">
            <v>10.055539799999998</v>
          </cell>
          <cell r="J182">
            <v>10.215059399999999</v>
          </cell>
          <cell r="K182">
            <v>9.736274168724</v>
          </cell>
          <cell r="L182">
            <v>12.057043200000003</v>
          </cell>
          <cell r="M182">
            <v>10.190926900000001</v>
          </cell>
          <cell r="N182">
            <v>13.504790399999999</v>
          </cell>
        </row>
        <row r="183">
          <cell r="C183">
            <v>12.291285830927999</v>
          </cell>
          <cell r="D183">
            <v>23.375285830928</v>
          </cell>
          <cell r="E183">
            <v>34.604378830927999</v>
          </cell>
          <cell r="F183">
            <v>46.17697202019</v>
          </cell>
          <cell r="G183">
            <v>56.849511820190003</v>
          </cell>
          <cell r="H183">
            <v>67.441617918589998</v>
          </cell>
          <cell r="I183">
            <v>77.497157718589989</v>
          </cell>
          <cell r="J183">
            <v>87.71221711858999</v>
          </cell>
          <cell r="K183">
            <v>97.448491287313985</v>
          </cell>
          <cell r="L183">
            <v>109.50553448731398</v>
          </cell>
          <cell r="M183">
            <v>119.69646138731397</v>
          </cell>
          <cell r="N183">
            <v>133.20125178731396</v>
          </cell>
        </row>
        <row r="184">
          <cell r="C184">
            <v>134.36168369962164</v>
          </cell>
          <cell r="D184">
            <v>133.85250736657048</v>
          </cell>
          <cell r="E184">
            <v>160.38448311817626</v>
          </cell>
          <cell r="F184">
            <v>163.64963858242587</v>
          </cell>
          <cell r="G184">
            <v>159.29852762811569</v>
          </cell>
          <cell r="H184">
            <v>171.90448875731676</v>
          </cell>
          <cell r="I184">
            <v>175.34036557474519</v>
          </cell>
          <cell r="J184">
            <v>176.49880964846699</v>
          </cell>
          <cell r="K184">
            <v>175.78199182157252</v>
          </cell>
          <cell r="L184">
            <v>190.49626562614526</v>
          </cell>
          <cell r="M184">
            <v>177.79960724887417</v>
          </cell>
          <cell r="N184">
            <v>240.92073847827643</v>
          </cell>
        </row>
        <row r="185">
          <cell r="C185">
            <v>134.36168369962164</v>
          </cell>
          <cell r="D185">
            <v>268.21419106619214</v>
          </cell>
          <cell r="E185">
            <v>428.59867418436841</v>
          </cell>
          <cell r="F185">
            <v>592.24831276679424</v>
          </cell>
          <cell r="G185">
            <v>751.54684039490996</v>
          </cell>
          <cell r="H185">
            <v>923.45132915222666</v>
          </cell>
          <cell r="I185">
            <v>1098.7916947269719</v>
          </cell>
          <cell r="J185">
            <v>1275.2905043754388</v>
          </cell>
          <cell r="K185">
            <v>1451.0724961970113</v>
          </cell>
          <cell r="L185">
            <v>1641.5687618231566</v>
          </cell>
          <cell r="M185">
            <v>1819.3683690720309</v>
          </cell>
          <cell r="N185">
            <v>2060.2891075503071</v>
          </cell>
        </row>
        <row r="186">
          <cell r="C186">
            <v>6.5197409091441658E-2</v>
          </cell>
          <cell r="D186">
            <v>6.4451005956885438E-2</v>
          </cell>
          <cell r="E186">
            <v>6.3922108685913762E-2</v>
          </cell>
          <cell r="F186">
            <v>6.436001927222261E-2</v>
          </cell>
          <cell r="G186">
            <v>6.8612215310328378E-2</v>
          </cell>
          <cell r="H186">
            <v>6.925131171923278E-2</v>
          </cell>
          <cell r="I186">
            <v>6.7397723032130055E-2</v>
          </cell>
          <cell r="J186">
            <v>6.6460795370934925E-2</v>
          </cell>
          <cell r="K186">
            <v>6.3802945393177352E-2</v>
          </cell>
          <cell r="L186">
            <v>7.9161800751417849E-2</v>
          </cell>
          <cell r="M186">
            <v>6.5752431771690933E-2</v>
          </cell>
          <cell r="N186">
            <v>7.1929983757563459E-2</v>
          </cell>
        </row>
        <row r="187">
          <cell r="C187">
            <v>8.7600336583791201</v>
          </cell>
          <cell r="D187">
            <v>8.6269287496268863</v>
          </cell>
          <cell r="E187">
            <v>10.252114361414163</v>
          </cell>
          <cell r="F187">
            <v>10.532493893057193</v>
          </cell>
          <cell r="G187">
            <v>10.929824876238568</v>
          </cell>
          <cell r="H187">
            <v>11.904611336868289</v>
          </cell>
          <cell r="I187">
            <v>11.817541395359108</v>
          </cell>
          <cell r="J187">
            <v>11.730251271260359</v>
          </cell>
          <cell r="K187">
            <v>11.215408825295739</v>
          </cell>
          <cell r="L187">
            <v>15.080027423386079</v>
          </cell>
          <cell r="M187">
            <v>11.690756544665044</v>
          </cell>
          <cell r="N187">
            <v>17.329424805602617</v>
          </cell>
        </row>
        <row r="188">
          <cell r="C188">
            <v>8.7600336583791201</v>
          </cell>
          <cell r="D188">
            <v>17.386962408006006</v>
          </cell>
          <cell r="E188">
            <v>27.639076769420171</v>
          </cell>
          <cell r="F188">
            <v>38.171570662477365</v>
          </cell>
          <cell r="G188">
            <v>49.101395538715934</v>
          </cell>
          <cell r="H188">
            <v>61.00600687558422</v>
          </cell>
          <cell r="I188">
            <v>72.82354827094332</v>
          </cell>
          <cell r="J188">
            <v>84.553799542203677</v>
          </cell>
          <cell r="K188">
            <v>95.769208367499417</v>
          </cell>
          <cell r="L188">
            <v>110.8492357908855</v>
          </cell>
          <cell r="M188">
            <v>122.53999233555055</v>
          </cell>
          <cell r="N188">
            <v>139.86941714115318</v>
          </cell>
        </row>
        <row r="189">
          <cell r="C189">
            <v>80.621334126729636</v>
          </cell>
          <cell r="D189">
            <v>80.428903576692036</v>
          </cell>
          <cell r="E189">
            <v>94.118223110435224</v>
          </cell>
          <cell r="F189">
            <v>95.988358591850883</v>
          </cell>
          <cell r="G189">
            <v>93.082366704624562</v>
          </cell>
          <cell r="H189">
            <v>100.58107835058905</v>
          </cell>
          <cell r="I189">
            <v>102.02337181769047</v>
          </cell>
          <cell r="J189">
            <v>103.99862911092397</v>
          </cell>
          <cell r="K189">
            <v>103.81451677711169</v>
          </cell>
          <cell r="L189">
            <v>109.74639290630398</v>
          </cell>
          <cell r="M189">
            <v>100.62598517949115</v>
          </cell>
          <cell r="N189">
            <v>143.71622970398167</v>
          </cell>
        </row>
        <row r="190">
          <cell r="C190">
            <v>80.621334126729636</v>
          </cell>
          <cell r="D190">
            <v>161.05023770342166</v>
          </cell>
          <cell r="E190">
            <v>255.16846081385688</v>
          </cell>
          <cell r="F190">
            <v>351.15681940570778</v>
          </cell>
          <cell r="G190">
            <v>444.23918611033235</v>
          </cell>
          <cell r="H190">
            <v>544.82026446092141</v>
          </cell>
          <cell r="I190">
            <v>646.84363627861194</v>
          </cell>
          <cell r="J190">
            <v>750.8422653895359</v>
          </cell>
          <cell r="K190">
            <v>854.65678216664764</v>
          </cell>
          <cell r="L190">
            <v>964.40317507295163</v>
          </cell>
          <cell r="M190">
            <v>1065.0291602524428</v>
          </cell>
          <cell r="N190">
            <v>1208.7453899564246</v>
          </cell>
        </row>
        <row r="191">
          <cell r="C191">
            <v>8.8614576507499987E-2</v>
          </cell>
          <cell r="D191">
            <v>7.4956814959461923E-2</v>
          </cell>
          <cell r="E191">
            <v>6.6835748908804851E-2</v>
          </cell>
          <cell r="F191">
            <v>7.7474391183248503E-2</v>
          </cell>
          <cell r="G191">
            <v>8.5338459132342392E-2</v>
          </cell>
          <cell r="H191">
            <v>7.4462824712782871E-2</v>
          </cell>
          <cell r="I191">
            <v>8.2129337702728566E-2</v>
          </cell>
          <cell r="J191">
            <v>8.5295860006057406E-2</v>
          </cell>
          <cell r="K191">
            <v>8.0933331856156476E-2</v>
          </cell>
          <cell r="L191">
            <v>9.6642002031217145E-2</v>
          </cell>
          <cell r="M191">
            <v>8.4029056994220919E-2</v>
          </cell>
          <cell r="N191">
            <v>7.7458573843057155E-2</v>
          </cell>
        </row>
        <row r="192">
          <cell r="C192">
            <v>7.1442253811098029</v>
          </cell>
          <cell r="D192">
            <v>6.0286944427905098</v>
          </cell>
          <cell r="E192">
            <v>6.2904619275519229</v>
          </cell>
          <cell r="F192">
            <v>7.4366396425829882</v>
          </cell>
          <cell r="G192">
            <v>7.9435057469643118</v>
          </cell>
          <cell r="H192">
            <v>7.4895512066425924</v>
          </cell>
          <cell r="I192">
            <v>8.3791119575861419</v>
          </cell>
          <cell r="J192">
            <v>8.8706525094672575</v>
          </cell>
          <cell r="K192">
            <v>8.4020547378085038</v>
          </cell>
          <cell r="L192">
            <v>10.606111126169784</v>
          </cell>
          <cell r="M192">
            <v>8.4555066437470909</v>
          </cell>
          <cell r="N192">
            <v>11.132054190971628</v>
          </cell>
        </row>
        <row r="193">
          <cell r="C193">
            <v>7.1442253811098029</v>
          </cell>
          <cell r="D193">
            <v>13.172919823900312</v>
          </cell>
          <cell r="E193">
            <v>19.463381751452236</v>
          </cell>
          <cell r="F193">
            <v>26.900021394035225</v>
          </cell>
          <cell r="G193">
            <v>34.843527140999534</v>
          </cell>
          <cell r="H193">
            <v>42.333078347642129</v>
          </cell>
          <cell r="I193">
            <v>50.712190305228269</v>
          </cell>
          <cell r="J193">
            <v>59.582842814695525</v>
          </cell>
          <cell r="K193">
            <v>67.984897552504023</v>
          </cell>
          <cell r="L193">
            <v>78.591008678673802</v>
          </cell>
          <cell r="M193">
            <v>87.046515322420888</v>
          </cell>
          <cell r="N193">
            <v>98.178569513392517</v>
          </cell>
        </row>
        <row r="194">
          <cell r="C194">
            <v>30000</v>
          </cell>
          <cell r="D194">
            <v>30001</v>
          </cell>
          <cell r="E194">
            <v>30000</v>
          </cell>
          <cell r="F194">
            <v>29999</v>
          </cell>
          <cell r="G194">
            <v>30001</v>
          </cell>
          <cell r="H194">
            <v>30000</v>
          </cell>
          <cell r="I194">
            <v>29999</v>
          </cell>
          <cell r="J194">
            <v>30000</v>
          </cell>
          <cell r="K194">
            <v>20000</v>
          </cell>
          <cell r="L194">
            <v>20000</v>
          </cell>
          <cell r="M194">
            <v>20000</v>
          </cell>
          <cell r="N194">
            <v>19999</v>
          </cell>
        </row>
        <row r="195">
          <cell r="C195">
            <v>30000</v>
          </cell>
          <cell r="D195">
            <v>60001</v>
          </cell>
          <cell r="E195">
            <v>90001</v>
          </cell>
          <cell r="F195">
            <v>120000</v>
          </cell>
          <cell r="G195">
            <v>150001</v>
          </cell>
          <cell r="H195">
            <v>180001</v>
          </cell>
          <cell r="I195">
            <v>210000</v>
          </cell>
          <cell r="J195">
            <v>240000</v>
          </cell>
          <cell r="K195">
            <v>260000</v>
          </cell>
          <cell r="L195">
            <v>280000</v>
          </cell>
          <cell r="M195">
            <v>300000</v>
          </cell>
          <cell r="N195">
            <v>319999</v>
          </cell>
        </row>
        <row r="196">
          <cell r="C196">
            <v>27141</v>
          </cell>
          <cell r="D196">
            <v>23978</v>
          </cell>
          <cell r="E196">
            <v>32787</v>
          </cell>
          <cell r="F196">
            <v>26448</v>
          </cell>
          <cell r="G196">
            <v>28919</v>
          </cell>
          <cell r="H196">
            <v>28919</v>
          </cell>
          <cell r="I196">
            <v>24333</v>
          </cell>
          <cell r="J196">
            <v>23265</v>
          </cell>
          <cell r="K196">
            <v>32444</v>
          </cell>
          <cell r="L196">
            <v>45125</v>
          </cell>
          <cell r="M196">
            <v>28212</v>
          </cell>
          <cell r="N196">
            <v>31000</v>
          </cell>
        </row>
        <row r="197">
          <cell r="C197">
            <v>27141</v>
          </cell>
          <cell r="D197">
            <v>51119</v>
          </cell>
          <cell r="E197">
            <v>83906</v>
          </cell>
          <cell r="F197">
            <v>110354</v>
          </cell>
          <cell r="G197">
            <v>139273</v>
          </cell>
          <cell r="H197">
            <v>168192</v>
          </cell>
          <cell r="I197">
            <v>192525</v>
          </cell>
          <cell r="J197">
            <v>215790</v>
          </cell>
          <cell r="K197">
            <v>248234</v>
          </cell>
          <cell r="L197">
            <v>293359</v>
          </cell>
          <cell r="M197">
            <v>321571</v>
          </cell>
          <cell r="N197">
            <v>352571</v>
          </cell>
        </row>
        <row r="198">
          <cell r="C198">
            <v>1.1053387863380126</v>
          </cell>
          <cell r="D198">
            <v>1.1737514427121032</v>
          </cell>
          <cell r="E198">
            <v>1.0726408123376159</v>
          </cell>
          <cell r="F198">
            <v>1.0874096090762455</v>
          </cell>
          <cell r="G198">
            <v>1.077028569787396</v>
          </cell>
          <cell r="H198">
            <v>1.0702114250380517</v>
          </cell>
          <cell r="I198">
            <v>1.0907674328009349</v>
          </cell>
          <cell r="J198">
            <v>1.1121924092868065</v>
          </cell>
          <cell r="K198">
            <v>1.0473988253019328</v>
          </cell>
          <cell r="L198">
            <v>0.95446193912578103</v>
          </cell>
          <cell r="M198">
            <v>0.93291994613942175</v>
          </cell>
          <cell r="N198">
            <v>0.90761577100782542</v>
          </cell>
        </row>
        <row r="199">
          <cell r="C199">
            <v>17943</v>
          </cell>
          <cell r="D199">
            <v>17450</v>
          </cell>
          <cell r="E199">
            <v>29648</v>
          </cell>
          <cell r="F199">
            <v>19450</v>
          </cell>
          <cell r="G199">
            <v>18106</v>
          </cell>
          <cell r="H199">
            <v>16108</v>
          </cell>
          <cell r="I199">
            <v>14017</v>
          </cell>
          <cell r="J199">
            <v>18956</v>
          </cell>
          <cell r="K199">
            <v>49044</v>
          </cell>
          <cell r="L199">
            <v>47321</v>
          </cell>
          <cell r="M199">
            <v>27840</v>
          </cell>
          <cell r="N199">
            <v>30739</v>
          </cell>
        </row>
        <row r="200">
          <cell r="C200">
            <v>17943</v>
          </cell>
          <cell r="D200">
            <v>35393</v>
          </cell>
          <cell r="E200">
            <v>65041</v>
          </cell>
          <cell r="F200">
            <v>84491</v>
          </cell>
          <cell r="G200">
            <v>102597</v>
          </cell>
          <cell r="H200">
            <v>118705</v>
          </cell>
          <cell r="I200">
            <v>132722</v>
          </cell>
          <cell r="J200">
            <v>151678</v>
          </cell>
          <cell r="K200">
            <v>200722</v>
          </cell>
          <cell r="L200">
            <v>248043</v>
          </cell>
          <cell r="M200">
            <v>275883</v>
          </cell>
          <cell r="N200">
            <v>306622</v>
          </cell>
        </row>
        <row r="201">
          <cell r="C201">
            <v>26034</v>
          </cell>
          <cell r="D201">
            <v>22882</v>
          </cell>
          <cell r="E201">
            <v>32147</v>
          </cell>
          <cell r="F201">
            <v>25968</v>
          </cell>
          <cell r="G201">
            <v>28139</v>
          </cell>
          <cell r="H201">
            <v>27966</v>
          </cell>
          <cell r="I201">
            <v>25730</v>
          </cell>
          <cell r="J201">
            <v>29793</v>
          </cell>
          <cell r="K201">
            <v>30034</v>
          </cell>
          <cell r="L201">
            <v>44143</v>
          </cell>
          <cell r="M201">
            <v>32505</v>
          </cell>
          <cell r="N201">
            <v>32702</v>
          </cell>
        </row>
        <row r="202">
          <cell r="C202">
            <v>26034</v>
          </cell>
          <cell r="D202">
            <v>48916</v>
          </cell>
          <cell r="E202">
            <v>81063</v>
          </cell>
          <cell r="F202">
            <v>107031</v>
          </cell>
          <cell r="G202">
            <v>135170</v>
          </cell>
          <cell r="H202">
            <v>163136</v>
          </cell>
          <cell r="I202">
            <v>188866</v>
          </cell>
          <cell r="J202">
            <v>218659</v>
          </cell>
          <cell r="K202">
            <v>248693</v>
          </cell>
          <cell r="L202">
            <v>292836</v>
          </cell>
          <cell r="M202">
            <v>325341</v>
          </cell>
          <cell r="N202">
            <v>358043</v>
          </cell>
        </row>
        <row r="203">
          <cell r="C203">
            <v>0.68921410463240373</v>
          </cell>
          <cell r="D203">
            <v>0.72354648785673403</v>
          </cell>
          <cell r="E203">
            <v>0.80235125766379234</v>
          </cell>
          <cell r="F203">
            <v>0.78940680737356472</v>
          </cell>
          <cell r="G203">
            <v>0.75902197233113855</v>
          </cell>
          <cell r="H203">
            <v>0.72764441938014912</v>
          </cell>
          <cell r="I203">
            <v>0.70273103681975579</v>
          </cell>
          <cell r="J203">
            <v>0.69367371112096921</v>
          </cell>
          <cell r="K203">
            <v>0.80710755831487013</v>
          </cell>
          <cell r="L203">
            <v>0.84703724951850179</v>
          </cell>
          <cell r="M203">
            <v>0.84798104143037611</v>
          </cell>
          <cell r="N203">
            <v>0.85638317185366009</v>
          </cell>
        </row>
        <row r="204">
          <cell r="C204">
            <v>1230</v>
          </cell>
          <cell r="D204">
            <v>1230</v>
          </cell>
          <cell r="E204">
            <v>1230</v>
          </cell>
          <cell r="F204">
            <v>1230</v>
          </cell>
          <cell r="G204">
            <v>1230</v>
          </cell>
          <cell r="H204">
            <v>1230</v>
          </cell>
          <cell r="I204">
            <v>1230</v>
          </cell>
          <cell r="J204">
            <v>1230</v>
          </cell>
          <cell r="K204">
            <v>1230</v>
          </cell>
          <cell r="L204">
            <v>1230</v>
          </cell>
          <cell r="M204">
            <v>1230</v>
          </cell>
          <cell r="N204">
            <v>1230</v>
          </cell>
        </row>
        <row r="205">
          <cell r="C205">
            <v>1230</v>
          </cell>
          <cell r="D205">
            <v>2460</v>
          </cell>
          <cell r="E205">
            <v>3690</v>
          </cell>
          <cell r="F205">
            <v>4920</v>
          </cell>
          <cell r="G205">
            <v>6150</v>
          </cell>
          <cell r="H205">
            <v>7380</v>
          </cell>
          <cell r="I205">
            <v>8610</v>
          </cell>
          <cell r="J205">
            <v>9840</v>
          </cell>
          <cell r="K205">
            <v>11070</v>
          </cell>
          <cell r="L205">
            <v>12300</v>
          </cell>
          <cell r="M205">
            <v>13530</v>
          </cell>
          <cell r="N205">
            <v>14760</v>
          </cell>
        </row>
        <row r="206">
          <cell r="C206">
            <v>14160</v>
          </cell>
          <cell r="D206">
            <v>14160</v>
          </cell>
          <cell r="E206">
            <v>14160</v>
          </cell>
          <cell r="F206">
            <v>14160</v>
          </cell>
          <cell r="G206">
            <v>14160</v>
          </cell>
          <cell r="H206">
            <v>14160</v>
          </cell>
          <cell r="I206">
            <v>14160</v>
          </cell>
          <cell r="J206">
            <v>14160</v>
          </cell>
          <cell r="K206">
            <v>14160</v>
          </cell>
          <cell r="L206">
            <v>14160</v>
          </cell>
          <cell r="M206">
            <v>14160</v>
          </cell>
          <cell r="N206">
            <v>14160</v>
          </cell>
        </row>
        <row r="207">
          <cell r="C207">
            <v>14160</v>
          </cell>
          <cell r="D207">
            <v>28320</v>
          </cell>
          <cell r="E207">
            <v>42480</v>
          </cell>
          <cell r="F207">
            <v>56640</v>
          </cell>
          <cell r="G207">
            <v>70800</v>
          </cell>
          <cell r="H207">
            <v>84960</v>
          </cell>
          <cell r="I207">
            <v>99120</v>
          </cell>
          <cell r="J207">
            <v>113280</v>
          </cell>
          <cell r="K207">
            <v>127440</v>
          </cell>
          <cell r="L207">
            <v>141600</v>
          </cell>
          <cell r="M207">
            <v>155760</v>
          </cell>
          <cell r="N207">
            <v>169920</v>
          </cell>
        </row>
        <row r="208">
          <cell r="C208">
            <v>8.6864406779661021E-2</v>
          </cell>
          <cell r="D208">
            <v>8.6864406779661021E-2</v>
          </cell>
          <cell r="E208">
            <v>8.6864406779661021E-2</v>
          </cell>
          <cell r="F208">
            <v>8.6864406779661021E-2</v>
          </cell>
          <cell r="G208">
            <v>8.6864406779661021E-2</v>
          </cell>
          <cell r="H208">
            <v>8.6864406779661021E-2</v>
          </cell>
          <cell r="I208">
            <v>8.6864406779661021E-2</v>
          </cell>
          <cell r="J208">
            <v>8.6864406779661021E-2</v>
          </cell>
          <cell r="K208">
            <v>8.6864406779661021E-2</v>
          </cell>
          <cell r="L208">
            <v>8.6864406779661021E-2</v>
          </cell>
          <cell r="M208">
            <v>8.6864406779661021E-2</v>
          </cell>
          <cell r="N208">
            <v>8.6864406779661021E-2</v>
          </cell>
        </row>
        <row r="209">
          <cell r="C209">
            <v>1124</v>
          </cell>
          <cell r="D209">
            <v>996.16666666666663</v>
          </cell>
          <cell r="E209">
            <v>1152</v>
          </cell>
          <cell r="F209">
            <v>943</v>
          </cell>
          <cell r="G209">
            <v>1351</v>
          </cell>
          <cell r="H209">
            <v>1331</v>
          </cell>
          <cell r="I209">
            <v>1328</v>
          </cell>
          <cell r="J209">
            <v>1369</v>
          </cell>
          <cell r="K209">
            <v>1229</v>
          </cell>
          <cell r="L209">
            <v>1340</v>
          </cell>
          <cell r="M209">
            <v>1401</v>
          </cell>
          <cell r="N209">
            <v>1198</v>
          </cell>
        </row>
        <row r="210">
          <cell r="C210">
            <v>1124</v>
          </cell>
          <cell r="D210">
            <v>2120.1666666666665</v>
          </cell>
          <cell r="E210">
            <v>3272.1666666666665</v>
          </cell>
          <cell r="F210">
            <v>4215.1666666666661</v>
          </cell>
          <cell r="G210">
            <v>5566.1666666666661</v>
          </cell>
          <cell r="H210">
            <v>6897.1666666666661</v>
          </cell>
          <cell r="I210">
            <v>8225.1666666666661</v>
          </cell>
          <cell r="J210">
            <v>9594.1666666666661</v>
          </cell>
          <cell r="K210">
            <v>10823.166666666666</v>
          </cell>
          <cell r="L210">
            <v>12163.166666666666</v>
          </cell>
          <cell r="M210">
            <v>13564.166666666666</v>
          </cell>
          <cell r="N210">
            <v>14762.166666666666</v>
          </cell>
        </row>
        <row r="211">
          <cell r="C211">
            <v>14514.143217000059</v>
          </cell>
          <cell r="D211">
            <v>12042.677559666443</v>
          </cell>
          <cell r="E211">
            <v>14773.388535000278</v>
          </cell>
          <cell r="F211">
            <v>12576.718104999843</v>
          </cell>
          <cell r="G211">
            <v>12439.083085000108</v>
          </cell>
          <cell r="H211">
            <v>12625.644914000401</v>
          </cell>
          <cell r="I211">
            <v>13004.589427999261</v>
          </cell>
          <cell r="J211">
            <v>11832.201074000153</v>
          </cell>
          <cell r="K211">
            <v>12631.472787000079</v>
          </cell>
          <cell r="L211">
            <v>11449.837442000298</v>
          </cell>
          <cell r="M211">
            <v>15204.26687500019</v>
          </cell>
          <cell r="N211">
            <v>19896.392482999679</v>
          </cell>
        </row>
        <row r="212">
          <cell r="C212">
            <v>14514.143217000059</v>
          </cell>
          <cell r="D212">
            <v>26556.8207766665</v>
          </cell>
          <cell r="E212">
            <v>41330.209311666782</v>
          </cell>
          <cell r="F212">
            <v>53906.927416666629</v>
          </cell>
          <cell r="G212">
            <v>66346.010501666737</v>
          </cell>
          <cell r="H212">
            <v>78971.655415667134</v>
          </cell>
          <cell r="I212">
            <v>91976.244843666398</v>
          </cell>
          <cell r="J212">
            <v>103808.44591766656</v>
          </cell>
          <cell r="K212">
            <v>116439.91870466663</v>
          </cell>
          <cell r="L212">
            <v>127889.75614666693</v>
          </cell>
          <cell r="M212">
            <v>143094.02302166712</v>
          </cell>
          <cell r="N212">
            <v>162990.4155046668</v>
          </cell>
        </row>
        <row r="213">
          <cell r="C213">
            <v>7.7441705183361187E-2</v>
          </cell>
          <cell r="D213">
            <v>7.9835108445266117E-2</v>
          </cell>
          <cell r="E213">
            <v>7.9171306440565067E-2</v>
          </cell>
          <cell r="F213">
            <v>7.8193413512257531E-2</v>
          </cell>
          <cell r="G213">
            <v>8.3896026672573384E-2</v>
          </cell>
          <cell r="H213">
            <v>8.7337243095176931E-2</v>
          </cell>
          <cell r="I213">
            <v>8.942707631353207E-2</v>
          </cell>
          <cell r="J213">
            <v>9.2421831208956487E-2</v>
          </cell>
          <cell r="K213">
            <v>9.2950654612857439E-2</v>
          </cell>
          <cell r="L213">
            <v>9.5106653051380163E-2</v>
          </cell>
          <cell r="M213">
            <v>9.4791986277531645E-2</v>
          </cell>
          <cell r="N213">
            <v>9.0570765286772284E-2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C218" t="e">
            <v>#DIV/0!</v>
          </cell>
          <cell r="D218" t="e">
            <v>#DIV/0!</v>
          </cell>
          <cell r="E218" t="e">
            <v>#DIV/0!</v>
          </cell>
          <cell r="F218" t="e">
            <v>#DIV/0!</v>
          </cell>
          <cell r="G218" t="e">
            <v>#DIV/0!</v>
          </cell>
          <cell r="H218" t="e">
            <v>#DIV/0!</v>
          </cell>
          <cell r="I218" t="e">
            <v>#DIV/0!</v>
          </cell>
          <cell r="J218" t="e">
            <v>#DIV/0!</v>
          </cell>
          <cell r="K218" t="e">
            <v>#DIV/0!</v>
          </cell>
          <cell r="L218" t="e">
            <v>#DIV/0!</v>
          </cell>
          <cell r="M218" t="e">
            <v>#DIV/0!</v>
          </cell>
          <cell r="N218" t="e">
            <v>#DIV/0!</v>
          </cell>
        </row>
        <row r="219">
          <cell r="C219">
            <v>13127</v>
          </cell>
          <cell r="D219">
            <v>10948</v>
          </cell>
          <cell r="E219">
            <v>10567</v>
          </cell>
          <cell r="F219">
            <v>11000</v>
          </cell>
          <cell r="G219">
            <v>15692</v>
          </cell>
          <cell r="H219">
            <v>18528</v>
          </cell>
          <cell r="I219">
            <v>20052</v>
          </cell>
          <cell r="J219">
            <v>21536</v>
          </cell>
          <cell r="K219">
            <v>23369</v>
          </cell>
          <cell r="L219">
            <v>24955</v>
          </cell>
          <cell r="M219">
            <v>23244</v>
          </cell>
          <cell r="N219">
            <v>28100</v>
          </cell>
        </row>
        <row r="220">
          <cell r="C220">
            <v>13127</v>
          </cell>
          <cell r="D220">
            <v>24075</v>
          </cell>
          <cell r="E220">
            <v>34642</v>
          </cell>
          <cell r="F220">
            <v>45642</v>
          </cell>
          <cell r="G220">
            <v>61334</v>
          </cell>
          <cell r="H220">
            <v>79862</v>
          </cell>
          <cell r="I220">
            <v>99914</v>
          </cell>
          <cell r="J220">
            <v>121450</v>
          </cell>
          <cell r="K220">
            <v>144819</v>
          </cell>
          <cell r="L220">
            <v>169774</v>
          </cell>
          <cell r="M220">
            <v>193018</v>
          </cell>
          <cell r="N220">
            <v>221118</v>
          </cell>
        </row>
        <row r="221">
          <cell r="C221">
            <v>41346</v>
          </cell>
          <cell r="D221">
            <v>35244</v>
          </cell>
          <cell r="E221">
            <v>46161</v>
          </cell>
          <cell r="F221">
            <v>41186</v>
          </cell>
          <cell r="G221">
            <v>51265</v>
          </cell>
          <cell r="H221">
            <v>55607</v>
          </cell>
          <cell r="I221">
            <v>55865</v>
          </cell>
          <cell r="J221">
            <v>62269</v>
          </cell>
          <cell r="K221">
            <v>66827</v>
          </cell>
          <cell r="L221">
            <v>72464</v>
          </cell>
          <cell r="M221">
            <v>70759</v>
          </cell>
          <cell r="N221">
            <v>72754</v>
          </cell>
        </row>
        <row r="222">
          <cell r="C222">
            <v>41346</v>
          </cell>
          <cell r="D222">
            <v>76590</v>
          </cell>
          <cell r="E222">
            <v>122751</v>
          </cell>
          <cell r="F222">
            <v>163937</v>
          </cell>
          <cell r="G222">
            <v>215202</v>
          </cell>
          <cell r="H222">
            <v>270809</v>
          </cell>
          <cell r="I222">
            <v>326674</v>
          </cell>
          <cell r="J222">
            <v>388943</v>
          </cell>
          <cell r="K222">
            <v>455770</v>
          </cell>
          <cell r="L222">
            <v>528234</v>
          </cell>
          <cell r="M222">
            <v>598993</v>
          </cell>
          <cell r="N222">
            <v>671747</v>
          </cell>
        </row>
        <row r="223">
          <cell r="C223">
            <v>0.31749141392154018</v>
          </cell>
          <cell r="D223">
            <v>0.31433607520564044</v>
          </cell>
          <cell r="E223">
            <v>0.28221358685468956</v>
          </cell>
          <cell r="F223">
            <v>0.27841182893428573</v>
          </cell>
          <cell r="G223">
            <v>0.28500664491965688</v>
          </cell>
          <cell r="H223">
            <v>0.29490157269514677</v>
          </cell>
          <cell r="I223">
            <v>0.30585231760103343</v>
          </cell>
          <cell r="J223">
            <v>0.31225655173123051</v>
          </cell>
          <cell r="K223">
            <v>0.31774579283410492</v>
          </cell>
          <cell r="L223">
            <v>0.32139922837227441</v>
          </cell>
          <cell r="M223">
            <v>0.3222374885850085</v>
          </cell>
          <cell r="N223">
            <v>0.32916857090541529</v>
          </cell>
        </row>
        <row r="224">
          <cell r="C224">
            <v>434.154</v>
          </cell>
          <cell r="D224">
            <v>436.28569199999998</v>
          </cell>
          <cell r="E224">
            <v>438.41312061599996</v>
          </cell>
          <cell r="F224">
            <v>440.53629437476798</v>
          </cell>
          <cell r="G224">
            <v>442.65522178601844</v>
          </cell>
          <cell r="H224">
            <v>444.76991134244639</v>
          </cell>
          <cell r="I224">
            <v>446.88037151976152</v>
          </cell>
          <cell r="J224">
            <v>448.98661077672199</v>
          </cell>
          <cell r="K224">
            <v>451.08863755516853</v>
          </cell>
          <cell r="L224">
            <v>453.18646028005821</v>
          </cell>
          <cell r="M224">
            <v>455.28008735949811</v>
          </cell>
          <cell r="N224">
            <v>457.36952718477909</v>
          </cell>
        </row>
        <row r="225">
          <cell r="C225">
            <v>434.154</v>
          </cell>
          <cell r="D225">
            <v>870.43969199999992</v>
          </cell>
          <cell r="E225">
            <v>1308.8528126159999</v>
          </cell>
          <cell r="F225">
            <v>1749.3891069907679</v>
          </cell>
          <cell r="G225">
            <v>2192.0443287767862</v>
          </cell>
          <cell r="H225">
            <v>2636.8142401192326</v>
          </cell>
          <cell r="I225">
            <v>3083.694611638994</v>
          </cell>
          <cell r="J225">
            <v>3532.6812224157161</v>
          </cell>
          <cell r="K225">
            <v>3983.7698599708847</v>
          </cell>
          <cell r="L225">
            <v>4436.9563202509426</v>
          </cell>
          <cell r="M225">
            <v>4892.2364076104404</v>
          </cell>
          <cell r="N225">
            <v>5349.6059347952196</v>
          </cell>
        </row>
        <row r="226">
          <cell r="C226">
            <v>1500</v>
          </cell>
          <cell r="D226">
            <v>1500</v>
          </cell>
          <cell r="E226">
            <v>1500</v>
          </cell>
          <cell r="F226">
            <v>1500</v>
          </cell>
          <cell r="G226">
            <v>1500</v>
          </cell>
          <cell r="H226">
            <v>1500</v>
          </cell>
          <cell r="I226">
            <v>1500</v>
          </cell>
          <cell r="J226">
            <v>1500</v>
          </cell>
          <cell r="K226">
            <v>1500</v>
          </cell>
          <cell r="L226">
            <v>1500</v>
          </cell>
          <cell r="M226">
            <v>1500</v>
          </cell>
          <cell r="N226">
            <v>1500</v>
          </cell>
        </row>
        <row r="227">
          <cell r="C227">
            <v>1500</v>
          </cell>
          <cell r="D227">
            <v>3000</v>
          </cell>
          <cell r="E227">
            <v>4500</v>
          </cell>
          <cell r="F227">
            <v>6000</v>
          </cell>
          <cell r="G227">
            <v>7500</v>
          </cell>
          <cell r="H227">
            <v>9000</v>
          </cell>
          <cell r="I227">
            <v>10500</v>
          </cell>
          <cell r="J227">
            <v>12000</v>
          </cell>
          <cell r="K227">
            <v>13500</v>
          </cell>
          <cell r="L227">
            <v>15000</v>
          </cell>
          <cell r="M227">
            <v>16500</v>
          </cell>
          <cell r="N227">
            <v>18000</v>
          </cell>
        </row>
        <row r="228">
          <cell r="C228">
            <v>0.28943599999999997</v>
          </cell>
          <cell r="D228">
            <v>0.290146564</v>
          </cell>
          <cell r="E228">
            <v>0.29085618058133333</v>
          </cell>
          <cell r="F228">
            <v>0.29156485116512798</v>
          </cell>
          <cell r="G228">
            <v>0.29227257717023813</v>
          </cell>
          <cell r="H228">
            <v>0.29297936001324809</v>
          </cell>
          <cell r="I228">
            <v>0.29368520110847562</v>
          </cell>
          <cell r="J228">
            <v>0.29439010186797632</v>
          </cell>
          <cell r="K228">
            <v>0.295094063701547</v>
          </cell>
          <cell r="L228">
            <v>0.29579708801672949</v>
          </cell>
          <cell r="M228">
            <v>0.29649917621881455</v>
          </cell>
          <cell r="N228">
            <v>0.29720032971084553</v>
          </cell>
        </row>
        <row r="229">
          <cell r="C229">
            <v>511</v>
          </cell>
          <cell r="D229">
            <v>403</v>
          </cell>
          <cell r="E229">
            <v>443</v>
          </cell>
          <cell r="F229">
            <v>411</v>
          </cell>
          <cell r="G229">
            <v>406</v>
          </cell>
          <cell r="H229">
            <v>312</v>
          </cell>
          <cell r="I229">
            <v>10682</v>
          </cell>
          <cell r="J229">
            <v>307</v>
          </cell>
          <cell r="K229">
            <v>362</v>
          </cell>
          <cell r="L229">
            <v>524</v>
          </cell>
          <cell r="M229">
            <v>6027</v>
          </cell>
          <cell r="N229">
            <v>655</v>
          </cell>
        </row>
        <row r="230">
          <cell r="C230">
            <v>511</v>
          </cell>
          <cell r="D230">
            <v>914</v>
          </cell>
          <cell r="E230">
            <v>1357</v>
          </cell>
          <cell r="F230">
            <v>1768</v>
          </cell>
          <cell r="G230">
            <v>2174</v>
          </cell>
          <cell r="H230">
            <v>2486</v>
          </cell>
          <cell r="I230">
            <v>13168</v>
          </cell>
          <cell r="J230">
            <v>13475</v>
          </cell>
          <cell r="K230">
            <v>13837</v>
          </cell>
          <cell r="L230">
            <v>14361</v>
          </cell>
          <cell r="M230">
            <v>20388</v>
          </cell>
          <cell r="N230">
            <v>21043</v>
          </cell>
        </row>
        <row r="231">
          <cell r="C231">
            <v>1865</v>
          </cell>
          <cell r="D231">
            <v>2265</v>
          </cell>
          <cell r="E231">
            <v>2701</v>
          </cell>
          <cell r="F231">
            <v>2509</v>
          </cell>
          <cell r="G231">
            <v>2602</v>
          </cell>
          <cell r="H231">
            <v>2265</v>
          </cell>
          <cell r="I231">
            <v>2799</v>
          </cell>
          <cell r="J231">
            <v>3292</v>
          </cell>
          <cell r="K231">
            <v>3369</v>
          </cell>
          <cell r="L231">
            <v>2426</v>
          </cell>
          <cell r="M231">
            <v>2527</v>
          </cell>
          <cell r="N231">
            <v>2442</v>
          </cell>
        </row>
        <row r="232">
          <cell r="C232">
            <v>1865</v>
          </cell>
          <cell r="D232">
            <v>4130</v>
          </cell>
          <cell r="E232">
            <v>6831</v>
          </cell>
          <cell r="F232">
            <v>9340</v>
          </cell>
          <cell r="G232">
            <v>11942</v>
          </cell>
          <cell r="H232">
            <v>14207</v>
          </cell>
          <cell r="I232">
            <v>17006</v>
          </cell>
          <cell r="J232">
            <v>20298</v>
          </cell>
          <cell r="K232">
            <v>23667</v>
          </cell>
          <cell r="L232">
            <v>26093</v>
          </cell>
          <cell r="M232">
            <v>28620</v>
          </cell>
          <cell r="N232">
            <v>31062</v>
          </cell>
        </row>
        <row r="233">
          <cell r="C233">
            <v>0.27399463806970509</v>
          </cell>
          <cell r="D233">
            <v>0.22130750605326877</v>
          </cell>
          <cell r="E233">
            <v>0.19865319865319866</v>
          </cell>
          <cell r="F233">
            <v>0.18929336188436832</v>
          </cell>
          <cell r="G233">
            <v>0.18204655836543293</v>
          </cell>
          <cell r="H233">
            <v>0.17498416273667911</v>
          </cell>
          <cell r="I233">
            <v>0.77431494766552977</v>
          </cell>
          <cell r="J233">
            <v>0.66385850822741155</v>
          </cell>
          <cell r="K233">
            <v>0.58465373727130598</v>
          </cell>
          <cell r="L233">
            <v>0.55037749588012108</v>
          </cell>
          <cell r="M233">
            <v>0.71236897274633126</v>
          </cell>
          <cell r="N233">
            <v>0.67745154851587153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C236">
            <v>2520</v>
          </cell>
          <cell r="D236">
            <v>3795</v>
          </cell>
          <cell r="E236">
            <v>4475</v>
          </cell>
          <cell r="F236">
            <v>8555</v>
          </cell>
          <cell r="G236">
            <v>4620</v>
          </cell>
          <cell r="H236">
            <v>5870</v>
          </cell>
          <cell r="I236">
            <v>2480</v>
          </cell>
          <cell r="J236">
            <v>3110</v>
          </cell>
          <cell r="K236">
            <v>4340</v>
          </cell>
          <cell r="L236">
            <v>4555</v>
          </cell>
          <cell r="M236">
            <v>6080</v>
          </cell>
          <cell r="N236">
            <v>4600</v>
          </cell>
        </row>
        <row r="237">
          <cell r="C237">
            <v>2520</v>
          </cell>
          <cell r="D237">
            <v>6315</v>
          </cell>
          <cell r="E237">
            <v>10790</v>
          </cell>
          <cell r="F237">
            <v>19345</v>
          </cell>
          <cell r="G237">
            <v>23965</v>
          </cell>
          <cell r="H237">
            <v>29835</v>
          </cell>
          <cell r="I237">
            <v>32315</v>
          </cell>
          <cell r="J237">
            <v>35425</v>
          </cell>
          <cell r="K237">
            <v>39765</v>
          </cell>
          <cell r="L237">
            <v>44320</v>
          </cell>
          <cell r="M237">
            <v>50400</v>
          </cell>
          <cell r="N237">
            <v>55000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C239">
            <v>-26.734000000000002</v>
          </cell>
          <cell r="D239">
            <v>18.821000000000005</v>
          </cell>
          <cell r="E239">
            <v>-7.6350000000000033</v>
          </cell>
          <cell r="F239">
            <v>-6.1490000000000036</v>
          </cell>
          <cell r="G239">
            <v>-3.4020000000000081</v>
          </cell>
          <cell r="H239">
            <v>-5.1459999999999857</v>
          </cell>
          <cell r="I239">
            <v>-2.7209999999999965</v>
          </cell>
          <cell r="J239">
            <v>-3.9710000000000218</v>
          </cell>
          <cell r="K239">
            <v>-4.5969999999999764</v>
          </cell>
          <cell r="L239">
            <v>-4.9350000000000147</v>
          </cell>
          <cell r="M239">
            <v>-5.2819999999999974</v>
          </cell>
          <cell r="N239">
            <v>-5.9900000000000126</v>
          </cell>
        </row>
        <row r="240">
          <cell r="C240">
            <v>-26.734000000000002</v>
          </cell>
          <cell r="D240">
            <v>-7.9129999999999967</v>
          </cell>
          <cell r="E240">
            <v>-15.548</v>
          </cell>
          <cell r="F240">
            <v>-21.697000000000003</v>
          </cell>
          <cell r="G240">
            <v>-25.099000000000011</v>
          </cell>
          <cell r="H240">
            <v>-30.244999999999997</v>
          </cell>
          <cell r="I240">
            <v>-32.965999999999994</v>
          </cell>
          <cell r="J240">
            <v>-36.937000000000019</v>
          </cell>
          <cell r="K240">
            <v>-41.533999999999992</v>
          </cell>
          <cell r="L240">
            <v>-46.469000000000008</v>
          </cell>
          <cell r="M240">
            <v>-51.751000000000005</v>
          </cell>
          <cell r="N240">
            <v>-57.741000000000014</v>
          </cell>
        </row>
        <row r="241">
          <cell r="C241">
            <v>3210</v>
          </cell>
          <cell r="D241">
            <v>1978</v>
          </cell>
          <cell r="E241">
            <v>4051</v>
          </cell>
          <cell r="F241">
            <v>3303</v>
          </cell>
          <cell r="G241">
            <v>2561</v>
          </cell>
          <cell r="H241">
            <v>3268</v>
          </cell>
          <cell r="I241">
            <v>2311</v>
          </cell>
          <cell r="J241">
            <v>2520</v>
          </cell>
          <cell r="K241">
            <v>3096</v>
          </cell>
          <cell r="L241">
            <v>4176</v>
          </cell>
          <cell r="M241">
            <v>3723</v>
          </cell>
          <cell r="N241">
            <v>4285</v>
          </cell>
        </row>
        <row r="242">
          <cell r="C242">
            <v>3210</v>
          </cell>
          <cell r="D242">
            <v>5188</v>
          </cell>
          <cell r="E242">
            <v>9239</v>
          </cell>
          <cell r="F242">
            <v>12542</v>
          </cell>
          <cell r="G242">
            <v>15103</v>
          </cell>
          <cell r="H242">
            <v>18371</v>
          </cell>
          <cell r="I242">
            <v>20682</v>
          </cell>
          <cell r="J242">
            <v>23202</v>
          </cell>
          <cell r="K242">
            <v>26298</v>
          </cell>
          <cell r="L242">
            <v>30474</v>
          </cell>
          <cell r="M242">
            <v>34197</v>
          </cell>
          <cell r="N242">
            <v>38482</v>
          </cell>
        </row>
        <row r="243">
          <cell r="C243">
            <v>-8.328348909657321E-3</v>
          </cell>
          <cell r="D243">
            <v>-1.5252505782575167E-3</v>
          </cell>
          <cell r="E243">
            <v>-1.6828661110509795E-3</v>
          </cell>
          <cell r="F243">
            <v>-1.7299473768139055E-3</v>
          </cell>
          <cell r="G243">
            <v>-1.6618552605442635E-3</v>
          </cell>
          <cell r="H243">
            <v>-1.6463447825376951E-3</v>
          </cell>
          <cell r="I243">
            <v>-1.5939464268445989E-3</v>
          </cell>
          <cell r="J243">
            <v>-1.5919748297560563E-3</v>
          </cell>
          <cell r="K243">
            <v>-1.5793596471214539E-3</v>
          </cell>
          <cell r="L243">
            <v>-1.5248736627945137E-3</v>
          </cell>
          <cell r="M243">
            <v>-1.5133198818609822E-3</v>
          </cell>
          <cell r="N243">
            <v>-1.5004677511563853E-3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C246">
            <v>9000</v>
          </cell>
          <cell r="D246">
            <v>10000</v>
          </cell>
          <cell r="E246">
            <v>11000</v>
          </cell>
          <cell r="F246">
            <v>10000</v>
          </cell>
          <cell r="G246">
            <v>10000</v>
          </cell>
          <cell r="H246">
            <v>12000</v>
          </cell>
          <cell r="I246">
            <v>11000</v>
          </cell>
          <cell r="J246">
            <v>11000</v>
          </cell>
          <cell r="K246">
            <v>10000</v>
          </cell>
          <cell r="L246">
            <v>14000</v>
          </cell>
          <cell r="M246">
            <v>11000</v>
          </cell>
          <cell r="N246">
            <v>13000</v>
          </cell>
        </row>
        <row r="247">
          <cell r="C247">
            <v>9000</v>
          </cell>
          <cell r="D247">
            <v>19000</v>
          </cell>
          <cell r="E247">
            <v>30000</v>
          </cell>
          <cell r="F247">
            <v>40000</v>
          </cell>
          <cell r="G247">
            <v>50000</v>
          </cell>
          <cell r="H247">
            <v>62000</v>
          </cell>
          <cell r="I247">
            <v>73000</v>
          </cell>
          <cell r="J247">
            <v>84000</v>
          </cell>
          <cell r="K247">
            <v>94000</v>
          </cell>
          <cell r="L247">
            <v>108000</v>
          </cell>
          <cell r="M247">
            <v>119000</v>
          </cell>
          <cell r="N247">
            <v>132000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C251">
            <v>10871</v>
          </cell>
          <cell r="D251">
            <v>8120</v>
          </cell>
          <cell r="E251">
            <v>8591</v>
          </cell>
          <cell r="F251">
            <v>8901</v>
          </cell>
          <cell r="G251">
            <v>11089</v>
          </cell>
          <cell r="H251">
            <v>10402</v>
          </cell>
          <cell r="I251">
            <v>10624</v>
          </cell>
          <cell r="J251">
            <v>12386</v>
          </cell>
          <cell r="K251">
            <v>11175</v>
          </cell>
          <cell r="L251">
            <v>15201</v>
          </cell>
          <cell r="M251">
            <v>17541</v>
          </cell>
          <cell r="N251">
            <v>15049</v>
          </cell>
        </row>
        <row r="252">
          <cell r="C252">
            <v>10871</v>
          </cell>
          <cell r="D252">
            <v>18991</v>
          </cell>
          <cell r="E252">
            <v>27582</v>
          </cell>
          <cell r="F252">
            <v>36483</v>
          </cell>
          <cell r="G252">
            <v>47572</v>
          </cell>
          <cell r="H252">
            <v>57974</v>
          </cell>
          <cell r="I252">
            <v>68598</v>
          </cell>
          <cell r="J252">
            <v>80984</v>
          </cell>
          <cell r="K252">
            <v>92159</v>
          </cell>
          <cell r="L252">
            <v>107360</v>
          </cell>
          <cell r="M252">
            <v>124901</v>
          </cell>
          <cell r="N252">
            <v>139950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Rep Eco SF JV"/>
      <sheetName val="Repo Eco SFAC"/>
      <sheetName val="Report Eco ASS"/>
      <sheetName val="Rep_Eco_SF_JV"/>
      <sheetName val="Repo_Eco_SFAC"/>
      <sheetName val="Report_Eco_ASS"/>
      <sheetName val="N-2_CUMUL"/>
    </sheetNames>
    <sheetDataSet>
      <sheetData sheetId="0" refreshError="1"/>
      <sheetData sheetId="1" refreshError="1"/>
      <sheetData sheetId="2" refreshError="1"/>
      <sheetData sheetId="3" refreshError="1">
        <row r="3">
          <cell r="AE3">
            <v>12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am"/>
      <sheetName val="Table pays"/>
      <sheetName val="TM"/>
      <sheetName val="Capex"/>
      <sheetName val="Feuil1"/>
      <sheetName val="Capex par pays"/>
      <sheetName val="Plug"/>
      <sheetName val="..."/>
    </sheetNames>
    <sheetDataSet>
      <sheetData sheetId="0"/>
      <sheetData sheetId="1" refreshError="1"/>
      <sheetData sheetId="2">
        <row r="2">
          <cell r="C2" t="str">
            <v>Nom</v>
          </cell>
          <cell r="D2" t="str">
            <v>Base CA</v>
          </cell>
          <cell r="E2" t="str">
            <v>TB</v>
          </cell>
          <cell r="F2" t="str">
            <v>TB Total</v>
          </cell>
          <cell r="G2" t="str">
            <v>TB conso</v>
          </cell>
          <cell r="H2" t="str">
            <v>TB total conso</v>
          </cell>
          <cell r="I2" t="str">
            <v>EffetsCalendaires</v>
          </cell>
          <cell r="J2" t="str">
            <v>Comparable1</v>
          </cell>
          <cell r="K2" t="str">
            <v>Comparable2</v>
          </cell>
          <cell r="L2" t="str">
            <v>Comparable3</v>
          </cell>
        </row>
        <row r="3">
          <cell r="C3" t="str">
            <v>Group</v>
          </cell>
          <cell r="D3" t="str">
            <v>Total Management Proforma 2011 wo HD</v>
          </cell>
          <cell r="E3" t="str">
            <v>Total Management Proforma 2011 OpCo wo HD</v>
          </cell>
          <cell r="F3" t="str">
            <v>Total Management Proforma 2011 wo HD</v>
          </cell>
          <cell r="G3" t="str">
            <v>Total Management Conso Proforma 2011 OpCo wo HD</v>
          </cell>
          <cell r="H3" t="str">
            <v>Total Management Conso Proforma 2011 wo HD</v>
          </cell>
          <cell r="I3" t="str">
            <v>Total management proforma 2011 wo HD (ND)</v>
          </cell>
        </row>
        <row r="4">
          <cell r="C4" t="str">
            <v>France</v>
          </cell>
          <cell r="D4" t="str">
            <v>France</v>
          </cell>
          <cell r="E4" t="str">
            <v>France</v>
          </cell>
          <cell r="F4" t="str">
            <v>France</v>
          </cell>
          <cell r="G4" t="str">
            <v>France Conso</v>
          </cell>
          <cell r="H4" t="str">
            <v>France Conso</v>
          </cell>
          <cell r="I4" t="str">
            <v>Undetailed France</v>
          </cell>
          <cell r="J4" t="str">
            <v>Espagne (hors SFA)</v>
          </cell>
          <cell r="K4" t="str">
            <v>Belgique</v>
          </cell>
          <cell r="L4" t="str">
            <v>Italie (hors SFA)</v>
          </cell>
        </row>
        <row r="5">
          <cell r="C5" t="str">
            <v>Espagne (avec SFA)</v>
          </cell>
          <cell r="D5" t="str">
            <v>Spain</v>
          </cell>
          <cell r="E5" t="str">
            <v>Spain Exploitation</v>
          </cell>
          <cell r="F5" t="str">
            <v>Spain Detailed</v>
          </cell>
          <cell r="G5" t="str">
            <v>Spain Exploitation Conso</v>
          </cell>
          <cell r="H5" t="str">
            <v>Spain Detailed Conso</v>
          </cell>
          <cell r="I5" t="str">
            <v>Undetailed Spain</v>
          </cell>
          <cell r="J5" t="str">
            <v>France</v>
          </cell>
          <cell r="K5" t="str">
            <v>Belgique (hors SFA)</v>
          </cell>
          <cell r="L5" t="str">
            <v>Italie (hors SFA)</v>
          </cell>
        </row>
        <row r="6">
          <cell r="C6" t="str">
            <v>Espagne (hors SFA)</v>
          </cell>
          <cell r="D6" t="str">
            <v>Spain</v>
          </cell>
          <cell r="E6" t="str">
            <v>Spain</v>
          </cell>
          <cell r="F6" t="str">
            <v>Spain Detailed</v>
          </cell>
          <cell r="G6" t="str">
            <v>Spain Conso</v>
          </cell>
          <cell r="H6" t="str">
            <v>Spain Detailed Conso</v>
          </cell>
          <cell r="I6" t="str">
            <v>Undetailed Spain</v>
          </cell>
          <cell r="J6" t="str">
            <v>France</v>
          </cell>
          <cell r="K6" t="str">
            <v>Belgique (hors SFA)</v>
          </cell>
          <cell r="L6" t="str">
            <v>Italie (hors SFA)</v>
          </cell>
        </row>
        <row r="7">
          <cell r="C7" t="str">
            <v>Italie (avec SFA)</v>
          </cell>
          <cell r="D7" t="str">
            <v>Italy</v>
          </cell>
          <cell r="E7" t="str">
            <v>Italy Exploitation</v>
          </cell>
          <cell r="F7" t="str">
            <v>Italy Detailed</v>
          </cell>
          <cell r="G7" t="str">
            <v>Italy Exploitation Conso</v>
          </cell>
          <cell r="H7" t="str">
            <v>Italy Detailed Conso</v>
          </cell>
          <cell r="I7" t="str">
            <v>Undetailed Italy</v>
          </cell>
          <cell r="J7" t="str">
            <v>France</v>
          </cell>
          <cell r="K7" t="str">
            <v>Espagne (hors SFA)</v>
          </cell>
          <cell r="L7" t="str">
            <v>Belgique (avec SFA)</v>
          </cell>
        </row>
        <row r="8">
          <cell r="C8" t="str">
            <v>Italie (hors SFA)</v>
          </cell>
          <cell r="D8" t="str">
            <v>Italy</v>
          </cell>
          <cell r="E8" t="str">
            <v>Italy</v>
          </cell>
          <cell r="F8" t="str">
            <v>Italy Detailed</v>
          </cell>
          <cell r="G8" t="str">
            <v>Italy Conso</v>
          </cell>
          <cell r="H8" t="str">
            <v>Italy Detailed Conso</v>
          </cell>
          <cell r="I8" t="str">
            <v>Undetailed Italy</v>
          </cell>
          <cell r="J8" t="str">
            <v>France</v>
          </cell>
          <cell r="K8" t="str">
            <v>Espagne (hors SFA)</v>
          </cell>
          <cell r="L8" t="str">
            <v>Belgique (avec SFA)</v>
          </cell>
        </row>
        <row r="9">
          <cell r="C9" t="str">
            <v>Belgique (avec SFA)</v>
          </cell>
          <cell r="D9" t="str">
            <v>Belgium</v>
          </cell>
          <cell r="E9" t="str">
            <v>Belgium Exploitation</v>
          </cell>
          <cell r="F9" t="str">
            <v>Belgium Detailed</v>
          </cell>
          <cell r="G9" t="str">
            <v>Belgium Exploitation Conso</v>
          </cell>
          <cell r="H9" t="str">
            <v>Belgium Detailed Conso</v>
          </cell>
          <cell r="I9" t="str">
            <v>Undetailed Belgium</v>
          </cell>
          <cell r="J9" t="str">
            <v>France</v>
          </cell>
          <cell r="K9" t="str">
            <v>Espagne (hors SFA)</v>
          </cell>
          <cell r="L9" t="str">
            <v>Italie (avec SFA)</v>
          </cell>
        </row>
        <row r="10">
          <cell r="C10" t="str">
            <v>Belgique (hors SFA)</v>
          </cell>
          <cell r="D10" t="str">
            <v>Belgium</v>
          </cell>
          <cell r="E10" t="str">
            <v>Belgium</v>
          </cell>
          <cell r="F10" t="str">
            <v>Belgium detailed</v>
          </cell>
          <cell r="G10" t="str">
            <v>Belgium Conso</v>
          </cell>
          <cell r="H10" t="str">
            <v>Belgium Detailed Conso</v>
          </cell>
          <cell r="I10" t="str">
            <v>Undetailed Belgium</v>
          </cell>
          <cell r="J10" t="str">
            <v>France</v>
          </cell>
          <cell r="K10" t="str">
            <v>Espagne (hors SFA)</v>
          </cell>
          <cell r="L10" t="str">
            <v>Italie (avec SFA)</v>
          </cell>
        </row>
        <row r="11">
          <cell r="C11" t="str">
            <v>Pologne</v>
          </cell>
          <cell r="D11" t="str">
            <v>Poland</v>
          </cell>
          <cell r="E11" t="str">
            <v>Poland Detailed</v>
          </cell>
          <cell r="F11" t="str">
            <v>Poland Detailed</v>
          </cell>
          <cell r="G11" t="str">
            <v>Poland Detailed Conso</v>
          </cell>
          <cell r="H11" t="str">
            <v>Poland Detailed Conso</v>
          </cell>
          <cell r="I11" t="str">
            <v>Undetailed Poland</v>
          </cell>
          <cell r="J11" t="str">
            <v>Italie (hors SFA)</v>
          </cell>
          <cell r="K11" t="str">
            <v>Grèce</v>
          </cell>
          <cell r="L11" t="str">
            <v>Roumanie</v>
          </cell>
        </row>
        <row r="12">
          <cell r="C12" t="str">
            <v>Grèce</v>
          </cell>
          <cell r="D12" t="str">
            <v>Greece All Proforma 2011</v>
          </cell>
          <cell r="E12" t="str">
            <v>Greece All Proforma 2011</v>
          </cell>
          <cell r="F12" t="str">
            <v>Greece All Proforma 2011</v>
          </cell>
          <cell r="G12" t="str">
            <v>Greece All Conso Proforma 2011</v>
          </cell>
          <cell r="H12" t="str">
            <v>Greece All Conso Proforma 2011</v>
          </cell>
          <cell r="I12" t="str">
            <v>total Greece including Cyprus (ND)</v>
          </cell>
          <cell r="J12" t="str">
            <v>Italie (hors SFA)</v>
          </cell>
          <cell r="K12" t="str">
            <v>Pologne</v>
          </cell>
          <cell r="L12" t="str">
            <v>Roumanie</v>
          </cell>
        </row>
        <row r="13">
          <cell r="C13" t="str">
            <v>Roumanie</v>
          </cell>
          <cell r="D13" t="str">
            <v>Romania</v>
          </cell>
          <cell r="E13" t="str">
            <v>Romania Detailed</v>
          </cell>
          <cell r="F13" t="str">
            <v>Romania Detailed</v>
          </cell>
          <cell r="G13" t="str">
            <v>Romania Detailed Conso</v>
          </cell>
          <cell r="H13" t="str">
            <v>Romania Detailed Conso</v>
          </cell>
          <cell r="I13" t="str">
            <v>Undetailed Romania</v>
          </cell>
          <cell r="J13" t="str">
            <v>Italie (hors SFA)</v>
          </cell>
          <cell r="K13" t="str">
            <v>Grèce</v>
          </cell>
          <cell r="L13" t="str">
            <v>Pologne</v>
          </cell>
        </row>
        <row r="14">
          <cell r="C14" t="str">
            <v>Turquie</v>
          </cell>
          <cell r="D14" t="str">
            <v>Turkey</v>
          </cell>
          <cell r="E14" t="str">
            <v>Turkey</v>
          </cell>
          <cell r="F14" t="str">
            <v>Turkey</v>
          </cell>
          <cell r="G14" t="str">
            <v>Turkey Conso</v>
          </cell>
          <cell r="H14" t="str">
            <v>Turkey Conso</v>
          </cell>
          <cell r="I14" t="str">
            <v>Undetailed Turkey</v>
          </cell>
          <cell r="J14" t="str">
            <v>Brésil Carrefour</v>
          </cell>
          <cell r="K14" t="str">
            <v>Indonésie</v>
          </cell>
          <cell r="L14" t="str">
            <v>Pologne</v>
          </cell>
        </row>
        <row r="15">
          <cell r="C15" t="str">
            <v>Brésil Carrefour</v>
          </cell>
          <cell r="D15" t="str">
            <v>Brazil Carrefour</v>
          </cell>
          <cell r="E15" t="str">
            <v>Brazil</v>
          </cell>
          <cell r="F15" t="str">
            <v>Brazil</v>
          </cell>
          <cell r="G15" t="str">
            <v>Brazil Conso</v>
          </cell>
          <cell r="H15" t="str">
            <v>Brazil Conso</v>
          </cell>
          <cell r="I15" t="str">
            <v>Undetailed Brazil Carrefour</v>
          </cell>
          <cell r="J15" t="str">
            <v>Brésil Atacadao</v>
          </cell>
          <cell r="K15" t="str">
            <v>Argentine</v>
          </cell>
          <cell r="L15" t="str">
            <v>Colombie Carrefour</v>
          </cell>
        </row>
        <row r="16">
          <cell r="C16" t="str">
            <v>Brésil Atacadao</v>
          </cell>
          <cell r="D16" t="str">
            <v>Brazil Atacadao</v>
          </cell>
          <cell r="E16" t="str">
            <v>Brazil Atacadao</v>
          </cell>
          <cell r="F16" t="str">
            <v>Brazil Atacadao</v>
          </cell>
          <cell r="G16" t="str">
            <v>Brazil Atacadao Conso</v>
          </cell>
          <cell r="H16" t="str">
            <v>Brazil Atacadao Conso</v>
          </cell>
          <cell r="I16" t="str">
            <v>Undetailed Brazil Atacadao</v>
          </cell>
          <cell r="J16" t="str">
            <v>Brésil Carrefour</v>
          </cell>
          <cell r="K16" t="str">
            <v>Argentine</v>
          </cell>
          <cell r="L16" t="str">
            <v>Colombie (Crf + Atc)</v>
          </cell>
        </row>
        <row r="17">
          <cell r="C17" t="str">
            <v>Brésil</v>
          </cell>
          <cell r="D17" t="str">
            <v>Brazil</v>
          </cell>
          <cell r="E17" t="str">
            <v>Brazil Detailed</v>
          </cell>
          <cell r="F17" t="str">
            <v>Brazil Detailed</v>
          </cell>
          <cell r="G17" t="str">
            <v>Brazil Detailed Conso</v>
          </cell>
          <cell r="H17" t="str">
            <v>Brazil Detailed Conso</v>
          </cell>
          <cell r="I17" t="str">
            <v>Undetailed Brazil</v>
          </cell>
          <cell r="J17" t="str">
            <v>Turquie</v>
          </cell>
          <cell r="K17" t="str">
            <v>Argentine</v>
          </cell>
          <cell r="L17" t="str">
            <v>Colombie (Crf + Atc)</v>
          </cell>
        </row>
        <row r="18">
          <cell r="C18" t="str">
            <v>Argentine</v>
          </cell>
          <cell r="D18" t="str">
            <v>Argentina</v>
          </cell>
          <cell r="E18" t="str">
            <v>Argentina Detailed</v>
          </cell>
          <cell r="F18" t="str">
            <v>Argentina Detailed</v>
          </cell>
          <cell r="G18" t="str">
            <v>Argentina Detailed Conso</v>
          </cell>
          <cell r="H18" t="str">
            <v>Argentina Detailed Conso</v>
          </cell>
          <cell r="I18" t="str">
            <v>Undetailed Argentina</v>
          </cell>
          <cell r="J18" t="str">
            <v>Brésil Carrefour</v>
          </cell>
          <cell r="K18" t="str">
            <v>Turquie</v>
          </cell>
          <cell r="L18" t="str">
            <v>Colombie Carrefour</v>
          </cell>
        </row>
        <row r="19">
          <cell r="C19" t="str">
            <v>Colombie (Crf + Atc)</v>
          </cell>
          <cell r="D19" t="str">
            <v>Colombia</v>
          </cell>
          <cell r="E19" t="str">
            <v>Colombia detailed</v>
          </cell>
          <cell r="F19" t="str">
            <v>Colombia detailed</v>
          </cell>
          <cell r="G19" t="str">
            <v>Colombia Detailed Conso</v>
          </cell>
          <cell r="H19" t="str">
            <v>Colombia Detailed Conso</v>
          </cell>
          <cell r="I19" t="str">
            <v>Undetailed Colombia</v>
          </cell>
          <cell r="J19" t="str">
            <v>Brésil Carrefour</v>
          </cell>
          <cell r="K19" t="str">
            <v>Turquie</v>
          </cell>
          <cell r="L19" t="str">
            <v>Argentine</v>
          </cell>
        </row>
        <row r="20">
          <cell r="C20" t="str">
            <v>Colombie Carrefour</v>
          </cell>
          <cell r="D20" t="str">
            <v>Colombia Carrefour</v>
          </cell>
          <cell r="E20" t="str">
            <v>Colombia</v>
          </cell>
          <cell r="F20" t="str">
            <v>Colombia</v>
          </cell>
          <cell r="G20" t="str">
            <v>Colombia Conso</v>
          </cell>
          <cell r="H20" t="str">
            <v>Colombia Conso</v>
          </cell>
          <cell r="I20" t="str">
            <v>Undetailed Colombia</v>
          </cell>
          <cell r="J20" t="str">
            <v>Brésil Carrefour</v>
          </cell>
          <cell r="K20" t="str">
            <v>Turquie</v>
          </cell>
          <cell r="L20" t="str">
            <v>Argentine</v>
          </cell>
        </row>
        <row r="21">
          <cell r="C21" t="str">
            <v>Colombie Atacadão</v>
          </cell>
          <cell r="D21" t="str">
            <v>Colombia Atacadao</v>
          </cell>
          <cell r="E21" t="str">
            <v>Colombia Atacadao</v>
          </cell>
          <cell r="F21" t="str">
            <v>Colombia Atacadao</v>
          </cell>
          <cell r="G21" t="str">
            <v>Colombia Atacadao Conso</v>
          </cell>
          <cell r="H21" t="str">
            <v>Colombia Atacadao Conso</v>
          </cell>
          <cell r="I21" t="str">
            <v>Undetailed Colombia</v>
          </cell>
          <cell r="J21" t="str">
            <v>Brésil Atacadao</v>
          </cell>
          <cell r="K21" t="str">
            <v>Colombie Carrefour</v>
          </cell>
          <cell r="L21" t="str">
            <v>Argentine</v>
          </cell>
        </row>
        <row r="22">
          <cell r="C22" t="str">
            <v>Chine (avec Real Estate)</v>
          </cell>
          <cell r="D22" t="str">
            <v>China</v>
          </cell>
          <cell r="E22" t="str">
            <v>China Detailed</v>
          </cell>
          <cell r="F22" t="str">
            <v>China Detailed</v>
          </cell>
          <cell r="G22" t="str">
            <v>China Detailed Conso</v>
          </cell>
          <cell r="H22" t="str">
            <v>China Detailed Conso</v>
          </cell>
          <cell r="I22" t="str">
            <v>Undetailed China</v>
          </cell>
          <cell r="J22" t="str">
            <v>Taïwan</v>
          </cell>
          <cell r="K22" t="str">
            <v>Indonésie</v>
          </cell>
          <cell r="L22" t="str">
            <v>Brésil Carrefour</v>
          </cell>
        </row>
        <row r="23">
          <cell r="C23" t="str">
            <v>Chine (hors Real Estate)</v>
          </cell>
          <cell r="D23" t="str">
            <v>China</v>
          </cell>
          <cell r="E23" t="str">
            <v>China</v>
          </cell>
          <cell r="F23" t="str">
            <v>China Detailed</v>
          </cell>
          <cell r="G23" t="str">
            <v>China Conso</v>
          </cell>
          <cell r="H23" t="str">
            <v>China Detailed Conso</v>
          </cell>
          <cell r="I23" t="str">
            <v>Undetailed China</v>
          </cell>
          <cell r="J23" t="str">
            <v>Taïwan</v>
          </cell>
          <cell r="K23" t="str">
            <v>Indonésie</v>
          </cell>
          <cell r="L23" t="str">
            <v>Brésil Carrefour</v>
          </cell>
        </row>
        <row r="24">
          <cell r="C24" t="str">
            <v>China Real Estate</v>
          </cell>
          <cell r="D24" t="str">
            <v>China</v>
          </cell>
          <cell r="E24" t="str">
            <v>China Real Estate</v>
          </cell>
          <cell r="F24" t="str">
            <v>China Real Estate</v>
          </cell>
          <cell r="G24" t="str">
            <v>China Real Estate Conso</v>
          </cell>
          <cell r="H24" t="str">
            <v>China Real Estate conso</v>
          </cell>
          <cell r="I24" t="str">
            <v>Undetailed China</v>
          </cell>
        </row>
        <row r="25">
          <cell r="C25" t="str">
            <v>Taïwan</v>
          </cell>
          <cell r="D25" t="str">
            <v>Taiwan</v>
          </cell>
          <cell r="E25" t="str">
            <v>Taiwan</v>
          </cell>
          <cell r="F25" t="str">
            <v>Taiwan</v>
          </cell>
          <cell r="G25" t="str">
            <v>Taiwan Conso</v>
          </cell>
          <cell r="H25" t="str">
            <v>Taiwan Conso</v>
          </cell>
          <cell r="I25" t="str">
            <v>Undetailed Taiwan</v>
          </cell>
          <cell r="J25" t="str">
            <v>Chine (avec Real Estate)</v>
          </cell>
          <cell r="K25" t="str">
            <v>Indonésie</v>
          </cell>
          <cell r="L25" t="str">
            <v>Malaisie</v>
          </cell>
        </row>
        <row r="26">
          <cell r="C26" t="str">
            <v>Indonésie</v>
          </cell>
          <cell r="D26" t="str">
            <v>Indonesia</v>
          </cell>
          <cell r="E26" t="str">
            <v>Indonesia Detailed</v>
          </cell>
          <cell r="F26" t="str">
            <v>Indonesia Detailed</v>
          </cell>
          <cell r="G26" t="str">
            <v>Indonesia Detailed Conso</v>
          </cell>
          <cell r="H26" t="str">
            <v>Indonesia Detailed Conso</v>
          </cell>
          <cell r="I26" t="str">
            <v>Undetailed Indonesia</v>
          </cell>
          <cell r="J26" t="str">
            <v>Chine (avec Real Estate)</v>
          </cell>
          <cell r="K26" t="str">
            <v>Malaisie</v>
          </cell>
          <cell r="L26" t="str">
            <v>Turquie</v>
          </cell>
        </row>
        <row r="27">
          <cell r="C27" t="str">
            <v>Malaisie</v>
          </cell>
          <cell r="D27" t="str">
            <v>Malaysia</v>
          </cell>
          <cell r="E27" t="str">
            <v>Malaysia</v>
          </cell>
          <cell r="F27" t="str">
            <v>Malaysia</v>
          </cell>
          <cell r="G27" t="str">
            <v>Malaysia Conso</v>
          </cell>
          <cell r="H27" t="str">
            <v>Malaysia Conso</v>
          </cell>
          <cell r="I27" t="str">
            <v>Undetailed Malaysia</v>
          </cell>
          <cell r="J27" t="str">
            <v>Chine (avec Real Estate)</v>
          </cell>
          <cell r="K27" t="str">
            <v>Indonésie</v>
          </cell>
          <cell r="L27" t="str">
            <v>Turquie</v>
          </cell>
        </row>
        <row r="28">
          <cell r="C28" t="str">
            <v>Singapour</v>
          </cell>
          <cell r="D28" t="str">
            <v>Singapore</v>
          </cell>
          <cell r="E28" t="str">
            <v>Singapore</v>
          </cell>
          <cell r="F28" t="str">
            <v>Singapore</v>
          </cell>
          <cell r="G28" t="str">
            <v>Singapore Conso</v>
          </cell>
          <cell r="H28" t="str">
            <v>Singapore Conso</v>
          </cell>
          <cell r="I28" t="str">
            <v>Undetailed Singapore</v>
          </cell>
          <cell r="J28" t="str">
            <v>Taïwan</v>
          </cell>
          <cell r="K28" t="str">
            <v>Espagne (avec SFA)</v>
          </cell>
          <cell r="L28" t="str">
            <v>Brésil</v>
          </cell>
        </row>
        <row r="29">
          <cell r="C29" t="str">
            <v>Inde</v>
          </cell>
          <cell r="D29" t="str">
            <v>India</v>
          </cell>
          <cell r="E29" t="str">
            <v>India</v>
          </cell>
          <cell r="F29" t="str">
            <v>India</v>
          </cell>
          <cell r="G29" t="str">
            <v>India Conso</v>
          </cell>
          <cell r="H29" t="str">
            <v>India Conso</v>
          </cell>
          <cell r="I29" t="str">
            <v>Undetailed India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3FF9-046E-4D42-8B9A-B160C4A32B37}">
  <dimension ref="A1:T105"/>
  <sheetViews>
    <sheetView workbookViewId="0">
      <selection activeCell="L29" sqref="L29"/>
    </sheetView>
  </sheetViews>
  <sheetFormatPr defaultColWidth="8.77734375" defaultRowHeight="14.4" outlineLevelRow="2" x14ac:dyDescent="0.3"/>
  <cols>
    <col min="2" max="2" width="44.44140625" bestFit="1" customWidth="1"/>
    <col min="5" max="5" width="10.77734375" bestFit="1" customWidth="1"/>
    <col min="6" max="7" width="14.33203125" bestFit="1" customWidth="1"/>
    <col min="8" max="8" width="14.44140625" bestFit="1" customWidth="1"/>
    <col min="9" max="13" width="11.44140625" bestFit="1" customWidth="1"/>
  </cols>
  <sheetData>
    <row r="1" spans="1:20" s="3" customFormat="1" ht="21" customHeight="1" x14ac:dyDescent="0.3"/>
    <row r="2" spans="1:20" s="3" customFormat="1" ht="15.6" x14ac:dyDescent="0.3"/>
    <row r="3" spans="1:20" s="3" customFormat="1" ht="15.6" x14ac:dyDescent="0.3">
      <c r="A3"/>
      <c r="B3"/>
      <c r="C3"/>
      <c r="D3"/>
      <c r="N3"/>
      <c r="O3"/>
      <c r="P3"/>
      <c r="Q3"/>
      <c r="R3"/>
      <c r="S3"/>
      <c r="T3"/>
    </row>
    <row r="4" spans="1:20" s="3" customFormat="1" ht="15.6" x14ac:dyDescent="0.3">
      <c r="A4"/>
      <c r="B4"/>
      <c r="C4"/>
      <c r="D4"/>
      <c r="E4" s="58">
        <v>2019</v>
      </c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/>
      <c r="T4"/>
    </row>
    <row r="5" spans="1:20" s="3" customFormat="1" ht="15.6" x14ac:dyDescent="0.3">
      <c r="E5" s="3" t="s">
        <v>69</v>
      </c>
      <c r="F5" s="384" t="s">
        <v>69</v>
      </c>
      <c r="G5" s="384"/>
      <c r="H5" s="384"/>
      <c r="I5" s="384" t="s">
        <v>71</v>
      </c>
      <c r="J5" s="384"/>
      <c r="K5" s="384"/>
      <c r="L5" s="384"/>
      <c r="M5" s="384"/>
      <c r="N5" s="384"/>
      <c r="O5" s="384"/>
      <c r="P5" s="384"/>
      <c r="Q5" s="384"/>
      <c r="R5" s="384"/>
      <c r="S5"/>
      <c r="T5"/>
    </row>
    <row r="6" spans="1:20" s="6" customFormat="1" ht="18" x14ac:dyDescent="0.35">
      <c r="E6" s="59" t="s">
        <v>70</v>
      </c>
      <c r="F6" s="59" t="s">
        <v>72</v>
      </c>
      <c r="G6" s="59" t="s">
        <v>73</v>
      </c>
      <c r="H6" s="59" t="s">
        <v>74</v>
      </c>
      <c r="I6" s="59" t="s">
        <v>75</v>
      </c>
      <c r="J6" s="59" t="s">
        <v>76</v>
      </c>
      <c r="K6" s="59" t="s">
        <v>77</v>
      </c>
      <c r="L6" s="59" t="s">
        <v>78</v>
      </c>
      <c r="M6" s="59" t="s">
        <v>79</v>
      </c>
      <c r="N6" s="59" t="s">
        <v>80</v>
      </c>
      <c r="O6" s="59" t="s">
        <v>81</v>
      </c>
      <c r="P6" s="59" t="s">
        <v>82</v>
      </c>
      <c r="Q6" s="59" t="s">
        <v>83</v>
      </c>
      <c r="R6" s="59" t="s">
        <v>70</v>
      </c>
      <c r="S6"/>
      <c r="T6"/>
    </row>
    <row r="7" spans="1:20" s="3" customFormat="1" ht="15.6" x14ac:dyDescent="0.3">
      <c r="B7" s="3" t="s">
        <v>0</v>
      </c>
      <c r="D7" s="57"/>
      <c r="E7" s="4" t="str">
        <f t="shared" ref="E7:H7" si="0">IFERROR(IF(ABS(E61)&gt;1,"ERROR","OK"),"OK")</f>
        <v>OK</v>
      </c>
      <c r="F7" s="4" t="str">
        <f t="shared" si="0"/>
        <v>OK</v>
      </c>
      <c r="G7" s="4" t="str">
        <f t="shared" si="0"/>
        <v>OK</v>
      </c>
      <c r="H7" s="4" t="str">
        <f t="shared" si="0"/>
        <v>OK</v>
      </c>
      <c r="I7" s="4" t="str">
        <f>IFERROR(IF(ABS(I61)&gt;1,"ERROR","OK"),"OK")</f>
        <v>ERROR</v>
      </c>
      <c r="J7" s="4" t="str">
        <f t="shared" ref="J7:R7" si="1">IFERROR(IF(ABS(J61)&gt;1,"ERROR","OK"),"OK")</f>
        <v>ERROR</v>
      </c>
      <c r="K7" s="4" t="str">
        <f t="shared" si="1"/>
        <v>ERROR</v>
      </c>
      <c r="L7" s="4" t="str">
        <f t="shared" si="1"/>
        <v>ERROR</v>
      </c>
      <c r="M7" s="4" t="str">
        <f t="shared" si="1"/>
        <v>ERROR</v>
      </c>
      <c r="N7" s="4" t="str">
        <f t="shared" si="1"/>
        <v>ERROR</v>
      </c>
      <c r="O7" s="4" t="str">
        <f t="shared" si="1"/>
        <v>ERROR</v>
      </c>
      <c r="P7" s="4" t="str">
        <f t="shared" si="1"/>
        <v>ERROR</v>
      </c>
      <c r="Q7" s="4" t="str">
        <f t="shared" si="1"/>
        <v>ERROR</v>
      </c>
      <c r="R7" s="4" t="str">
        <f t="shared" si="1"/>
        <v>ERROR</v>
      </c>
      <c r="S7"/>
      <c r="T7"/>
    </row>
    <row r="8" spans="1:20" s="3" customFormat="1" ht="15.6" x14ac:dyDescent="0.3">
      <c r="D8" s="57"/>
      <c r="N8"/>
      <c r="O8"/>
      <c r="P8"/>
      <c r="Q8"/>
      <c r="R8"/>
      <c r="S8"/>
      <c r="T8"/>
    </row>
    <row r="9" spans="1:20" s="3" customFormat="1" ht="18" outlineLevel="2" x14ac:dyDescent="0.3">
      <c r="B9" s="5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/>
      <c r="T9"/>
    </row>
    <row r="10" spans="1:20" s="3" customFormat="1" ht="15.6" outlineLevel="2" x14ac:dyDescent="0.3">
      <c r="A10" s="6"/>
      <c r="B10" s="7" t="s">
        <v>2</v>
      </c>
      <c r="C10" s="6"/>
      <c r="D10" s="8"/>
      <c r="E10" s="6"/>
      <c r="F10" s="6"/>
      <c r="G10" s="6"/>
      <c r="H10" s="6"/>
      <c r="I10" s="6"/>
      <c r="J10" s="6"/>
      <c r="K10" s="6"/>
      <c r="L10" s="6"/>
      <c r="M10" s="6"/>
      <c r="N10"/>
      <c r="O10"/>
      <c r="P10"/>
      <c r="Q10"/>
      <c r="R10"/>
      <c r="S10"/>
      <c r="T10"/>
    </row>
    <row r="11" spans="1:20" s="3" customFormat="1" ht="15.6" outlineLevel="2" x14ac:dyDescent="0.3">
      <c r="B11" s="3" t="s">
        <v>101</v>
      </c>
      <c r="C11" s="7"/>
      <c r="D11" s="9"/>
      <c r="E11" s="10"/>
      <c r="F11" s="11"/>
      <c r="G11" s="11"/>
      <c r="H11" s="11"/>
      <c r="I11" s="12"/>
      <c r="J11" s="12"/>
      <c r="K11" s="12"/>
      <c r="L11" s="12"/>
      <c r="M11" s="12"/>
      <c r="N11"/>
      <c r="O11"/>
      <c r="P11"/>
      <c r="Q11"/>
      <c r="R11"/>
      <c r="S11"/>
      <c r="T11"/>
    </row>
    <row r="12" spans="1:20" s="3" customFormat="1" ht="15.6" outlineLevel="2" x14ac:dyDescent="0.3">
      <c r="B12" s="13" t="s">
        <v>4</v>
      </c>
      <c r="C12" s="13"/>
      <c r="D12" s="14"/>
      <c r="E12" s="15">
        <f>E29/E28</f>
        <v>0.5</v>
      </c>
      <c r="F12" s="15">
        <f>F29/F28</f>
        <v>0.5</v>
      </c>
      <c r="G12" s="15">
        <f>G29/G28</f>
        <v>0.5</v>
      </c>
      <c r="H12" s="15">
        <f>H29/H28</f>
        <v>0.5</v>
      </c>
      <c r="I12" s="16">
        <v>0.37</v>
      </c>
      <c r="J12" s="16">
        <v>0.37</v>
      </c>
      <c r="K12" s="16">
        <v>0.36</v>
      </c>
      <c r="L12" s="16">
        <v>0.36</v>
      </c>
      <c r="M12" s="16">
        <v>0.35</v>
      </c>
      <c r="N12"/>
      <c r="O12"/>
      <c r="P12"/>
      <c r="Q12"/>
      <c r="R12"/>
      <c r="S12"/>
      <c r="T12"/>
    </row>
    <row r="13" spans="1:20" s="3" customFormat="1" ht="15.6" outlineLevel="2" x14ac:dyDescent="0.3">
      <c r="B13" s="13" t="s">
        <v>85</v>
      </c>
      <c r="C13" s="13"/>
      <c r="D13" s="14"/>
      <c r="E13" s="17">
        <f t="shared" ref="E13:H14" si="2">E32</f>
        <v>26427</v>
      </c>
      <c r="F13" s="17">
        <f t="shared" si="2"/>
        <v>23872</v>
      </c>
      <c r="G13" s="17">
        <f t="shared" si="2"/>
        <v>23002</v>
      </c>
      <c r="H13" s="17">
        <f t="shared" si="2"/>
        <v>25245</v>
      </c>
      <c r="I13" s="18">
        <v>25000</v>
      </c>
      <c r="J13" s="18">
        <v>25000</v>
      </c>
      <c r="K13" s="18">
        <v>25000</v>
      </c>
      <c r="L13" s="18">
        <v>25000</v>
      </c>
      <c r="M13" s="18">
        <v>25000</v>
      </c>
      <c r="N13"/>
      <c r="O13"/>
      <c r="P13"/>
      <c r="Q13"/>
      <c r="R13"/>
      <c r="S13"/>
      <c r="T13"/>
    </row>
    <row r="14" spans="1:20" s="3" customFormat="1" ht="15.6" outlineLevel="2" x14ac:dyDescent="0.3">
      <c r="B14" s="13" t="s">
        <v>86</v>
      </c>
      <c r="C14" s="13"/>
      <c r="D14" s="14"/>
      <c r="E14" s="17">
        <f t="shared" si="2"/>
        <v>10963</v>
      </c>
      <c r="F14" s="17">
        <f t="shared" si="2"/>
        <v>10087</v>
      </c>
      <c r="G14" s="17">
        <f t="shared" si="2"/>
        <v>11020</v>
      </c>
      <c r="H14" s="17">
        <f t="shared" si="2"/>
        <v>11412</v>
      </c>
      <c r="I14" s="18">
        <v>10000</v>
      </c>
      <c r="J14" s="18">
        <v>10000</v>
      </c>
      <c r="K14" s="18">
        <v>10000</v>
      </c>
      <c r="L14" s="18">
        <v>10000</v>
      </c>
      <c r="M14" s="18">
        <v>10000</v>
      </c>
      <c r="N14"/>
      <c r="O14"/>
      <c r="P14"/>
      <c r="Q14"/>
      <c r="R14"/>
      <c r="S14"/>
      <c r="T14"/>
    </row>
    <row r="15" spans="1:20" s="3" customFormat="1" ht="15.6" outlineLevel="2" x14ac:dyDescent="0.3">
      <c r="B15" s="13" t="s">
        <v>5</v>
      </c>
      <c r="C15" s="13"/>
      <c r="D15" s="14"/>
      <c r="E15" s="15">
        <f>E34/E96</f>
        <v>0.39</v>
      </c>
      <c r="F15" s="15">
        <f t="shared" ref="F15:G15" si="3">F34/F96</f>
        <v>0.4062573789846517</v>
      </c>
      <c r="G15" s="15">
        <f t="shared" si="3"/>
        <v>0.41209366048075724</v>
      </c>
      <c r="H15" s="15">
        <f>H34/H96</f>
        <v>0.41657578073390927</v>
      </c>
      <c r="I15" s="16">
        <v>0.4</v>
      </c>
      <c r="J15" s="16">
        <v>0.4</v>
      </c>
      <c r="K15" s="16">
        <v>0.4</v>
      </c>
      <c r="L15" s="16">
        <v>0.4</v>
      </c>
      <c r="M15" s="16">
        <v>0.4</v>
      </c>
      <c r="N15"/>
      <c r="O15"/>
      <c r="P15"/>
      <c r="Q15"/>
      <c r="R15"/>
      <c r="S15"/>
      <c r="T15"/>
    </row>
    <row r="16" spans="1:20" s="3" customFormat="1" ht="15.6" outlineLevel="2" x14ac:dyDescent="0.3">
      <c r="B16" s="13" t="s">
        <v>6</v>
      </c>
      <c r="C16" s="13"/>
      <c r="D16" s="14"/>
      <c r="E16" s="15">
        <f>E105/E102</f>
        <v>0.05</v>
      </c>
      <c r="F16" s="15">
        <f t="shared" ref="F16:H16" si="4">F105/F102</f>
        <v>0.03</v>
      </c>
      <c r="G16" s="15">
        <f t="shared" si="4"/>
        <v>0.03</v>
      </c>
      <c r="H16" s="15">
        <f t="shared" si="4"/>
        <v>0.03</v>
      </c>
      <c r="I16" s="16">
        <v>0.03</v>
      </c>
      <c r="J16" s="16">
        <v>0.03</v>
      </c>
      <c r="K16" s="16">
        <v>0.03</v>
      </c>
      <c r="L16" s="16">
        <v>0.03</v>
      </c>
      <c r="M16" s="16">
        <v>0.03</v>
      </c>
      <c r="N16"/>
      <c r="O16"/>
      <c r="P16"/>
      <c r="Q16"/>
      <c r="R16"/>
      <c r="S16"/>
      <c r="T16"/>
    </row>
    <row r="17" spans="2:20" s="3" customFormat="1" ht="15.6" outlineLevel="2" x14ac:dyDescent="0.3">
      <c r="B17" s="13" t="s">
        <v>7</v>
      </c>
      <c r="C17" s="19"/>
      <c r="D17" s="20"/>
      <c r="E17" s="15">
        <f>E39/E37</f>
        <v>-0.11929401490947818</v>
      </c>
      <c r="F17" s="15">
        <f>F39/F37</f>
        <v>-0.17797092386011829</v>
      </c>
      <c r="G17" s="15">
        <f>G39/G37</f>
        <v>-0.23475526953125847</v>
      </c>
      <c r="H17" s="15">
        <f>H39/H37</f>
        <v>-0.23845134235902002</v>
      </c>
      <c r="I17" s="16">
        <v>0.28000000000000003</v>
      </c>
      <c r="J17" s="16">
        <v>0.28000000000000003</v>
      </c>
      <c r="K17" s="16">
        <v>0.28000000000000003</v>
      </c>
      <c r="L17" s="16">
        <v>0.28000000000000003</v>
      </c>
      <c r="M17" s="16">
        <v>0.28000000000000003</v>
      </c>
      <c r="N17"/>
      <c r="O17"/>
      <c r="P17"/>
      <c r="Q17"/>
      <c r="R17"/>
      <c r="S17"/>
      <c r="T17"/>
    </row>
    <row r="18" spans="2:20" s="3" customFormat="1" ht="15.6" outlineLevel="2" x14ac:dyDescent="0.3">
      <c r="B18" s="7" t="s">
        <v>8</v>
      </c>
      <c r="C18" s="6"/>
      <c r="D18" s="8"/>
      <c r="E18" s="6"/>
      <c r="F18" s="6"/>
      <c r="G18" s="6"/>
      <c r="H18" s="6"/>
      <c r="I18" s="6"/>
      <c r="J18" s="6"/>
      <c r="K18" s="6"/>
      <c r="L18" s="6"/>
      <c r="M18" s="6"/>
      <c r="N18"/>
      <c r="O18"/>
      <c r="P18"/>
      <c r="Q18"/>
      <c r="R18"/>
      <c r="S18"/>
      <c r="T18"/>
    </row>
    <row r="19" spans="2:20" s="3" customFormat="1" ht="15.6" outlineLevel="2" x14ac:dyDescent="0.3">
      <c r="B19" s="3" t="s">
        <v>9</v>
      </c>
      <c r="D19" s="21"/>
      <c r="E19" s="22">
        <f t="shared" ref="E19:H20" si="5">E46/E28*365</f>
        <v>18.616277499999999</v>
      </c>
      <c r="F19" s="22">
        <f t="shared" si="5"/>
        <v>239.70462499999999</v>
      </c>
      <c r="G19" s="22">
        <f t="shared" si="5"/>
        <v>259.77232500000002</v>
      </c>
      <c r="H19" s="22">
        <f>H46/H28*365</f>
        <v>275.15890000000002</v>
      </c>
      <c r="I19" s="23">
        <v>18</v>
      </c>
      <c r="J19" s="23">
        <v>18</v>
      </c>
      <c r="K19" s="23">
        <v>18</v>
      </c>
      <c r="L19" s="23">
        <v>18</v>
      </c>
      <c r="M19" s="23">
        <v>18</v>
      </c>
      <c r="N19"/>
      <c r="O19"/>
      <c r="P19"/>
      <c r="Q19"/>
      <c r="R19"/>
      <c r="S19"/>
      <c r="T19"/>
    </row>
    <row r="20" spans="2:20" s="3" customFormat="1" ht="15.6" outlineLevel="2" x14ac:dyDescent="0.3">
      <c r="B20" s="3" t="s">
        <v>10</v>
      </c>
      <c r="D20" s="21"/>
      <c r="E20" s="22">
        <f t="shared" si="5"/>
        <v>56.973580000000005</v>
      </c>
      <c r="F20" s="22">
        <f t="shared" si="5"/>
        <v>717.19579999999996</v>
      </c>
      <c r="G20" s="22">
        <f t="shared" si="5"/>
        <v>768.74840000000006</v>
      </c>
      <c r="H20" s="22">
        <f t="shared" si="5"/>
        <v>827.96600000000012</v>
      </c>
      <c r="I20" s="23">
        <v>73</v>
      </c>
      <c r="J20" s="23">
        <v>73</v>
      </c>
      <c r="K20" s="23">
        <v>73</v>
      </c>
      <c r="L20" s="23">
        <v>73</v>
      </c>
      <c r="M20" s="23">
        <v>73</v>
      </c>
      <c r="N20"/>
      <c r="O20"/>
      <c r="P20"/>
      <c r="Q20"/>
      <c r="R20"/>
      <c r="S20"/>
      <c r="T20"/>
    </row>
    <row r="21" spans="2:20" s="3" customFormat="1" ht="15.6" outlineLevel="2" x14ac:dyDescent="0.3">
      <c r="B21" s="3" t="s">
        <v>11</v>
      </c>
      <c r="D21" s="21"/>
      <c r="E21" s="22">
        <f>E52/E29*365</f>
        <v>28.486790000000003</v>
      </c>
      <c r="F21" s="22">
        <f>F52/F29*365</f>
        <v>358.59789999999998</v>
      </c>
      <c r="G21" s="22">
        <f>G52/G29*365</f>
        <v>384.37420000000003</v>
      </c>
      <c r="H21" s="22">
        <f>H52/H29*365</f>
        <v>413.98300000000006</v>
      </c>
      <c r="I21" s="23">
        <v>37</v>
      </c>
      <c r="J21" s="23">
        <v>37</v>
      </c>
      <c r="K21" s="23">
        <v>37</v>
      </c>
      <c r="L21" s="23">
        <v>37</v>
      </c>
      <c r="M21" s="23">
        <v>37</v>
      </c>
      <c r="N21"/>
      <c r="O21"/>
      <c r="P21"/>
      <c r="Q21"/>
      <c r="R21"/>
      <c r="S21"/>
      <c r="T21"/>
    </row>
    <row r="22" spans="2:20" s="3" customFormat="1" ht="15.6" outlineLevel="2" x14ac:dyDescent="0.3">
      <c r="B22" s="3" t="s">
        <v>88</v>
      </c>
      <c r="D22" s="57"/>
      <c r="E22" s="22">
        <f>E72</f>
        <v>15000</v>
      </c>
      <c r="F22" s="22">
        <f t="shared" ref="F22:H22" si="6">F72</f>
        <v>15000</v>
      </c>
      <c r="G22" s="22">
        <f t="shared" si="6"/>
        <v>15000</v>
      </c>
      <c r="H22" s="22">
        <f t="shared" si="6"/>
        <v>15000</v>
      </c>
      <c r="I22" s="23">
        <v>15000</v>
      </c>
      <c r="J22" s="23">
        <v>10000</v>
      </c>
      <c r="K22" s="23">
        <v>25000</v>
      </c>
      <c r="L22" s="23">
        <v>10000</v>
      </c>
      <c r="M22" s="23">
        <v>15000</v>
      </c>
      <c r="N22"/>
      <c r="O22"/>
      <c r="P22"/>
      <c r="Q22"/>
      <c r="R22"/>
      <c r="S22"/>
      <c r="T22"/>
    </row>
    <row r="23" spans="2:20" s="3" customFormat="1" ht="15.6" outlineLevel="2" x14ac:dyDescent="0.3">
      <c r="B23" s="3" t="s">
        <v>89</v>
      </c>
      <c r="D23" s="57"/>
      <c r="E23" s="22">
        <f>E103</f>
        <v>0</v>
      </c>
      <c r="F23" s="22">
        <f>F103</f>
        <v>-20000</v>
      </c>
      <c r="G23" s="22">
        <f>G103</f>
        <v>0</v>
      </c>
      <c r="H23" s="22">
        <f>H103</f>
        <v>0</v>
      </c>
      <c r="I23" s="23">
        <v>0</v>
      </c>
      <c r="J23" s="23">
        <v>0</v>
      </c>
      <c r="K23" s="23">
        <v>-20000</v>
      </c>
      <c r="L23" s="23">
        <v>0</v>
      </c>
      <c r="M23" s="23">
        <v>0</v>
      </c>
      <c r="N23"/>
      <c r="O23"/>
      <c r="P23"/>
      <c r="Q23"/>
      <c r="R23"/>
      <c r="S23"/>
      <c r="T23"/>
    </row>
    <row r="24" spans="2:20" s="3" customFormat="1" ht="15.6" outlineLevel="2" x14ac:dyDescent="0.3">
      <c r="B24" s="3" t="s">
        <v>90</v>
      </c>
      <c r="D24" s="57"/>
      <c r="E24" s="22">
        <f>E77</f>
        <v>170000</v>
      </c>
      <c r="F24" s="22">
        <f>F77</f>
        <v>0</v>
      </c>
      <c r="G24" s="22">
        <f>G77</f>
        <v>0</v>
      </c>
      <c r="H24" s="22">
        <f>H77</f>
        <v>0</v>
      </c>
      <c r="I24" s="23">
        <v>0</v>
      </c>
      <c r="J24" s="23">
        <v>0</v>
      </c>
      <c r="K24" s="23">
        <v>0</v>
      </c>
      <c r="L24" s="23">
        <v>-150000</v>
      </c>
      <c r="M24" s="23">
        <v>0</v>
      </c>
      <c r="N24"/>
      <c r="O24"/>
      <c r="P24"/>
      <c r="Q24"/>
      <c r="R24"/>
      <c r="S24"/>
      <c r="T24"/>
    </row>
    <row r="25" spans="2:20" s="3" customFormat="1" ht="15.6" outlineLevel="2" x14ac:dyDescent="0.3">
      <c r="D25" s="57"/>
      <c r="E25" s="22"/>
      <c r="F25" s="22"/>
      <c r="G25" s="22"/>
      <c r="H25" s="22"/>
      <c r="I25" s="23"/>
      <c r="J25" s="23"/>
      <c r="K25" s="23"/>
      <c r="L25" s="23"/>
      <c r="M25" s="23"/>
      <c r="N25"/>
      <c r="O25"/>
      <c r="P25"/>
      <c r="Q25"/>
      <c r="R25"/>
      <c r="S25"/>
      <c r="T25"/>
    </row>
    <row r="26" spans="2:20" s="3" customFormat="1" ht="15.6" x14ac:dyDescent="0.3">
      <c r="D26" s="57"/>
      <c r="E26" s="22"/>
      <c r="F26" s="22"/>
      <c r="G26" s="22"/>
      <c r="H26" s="22"/>
      <c r="I26" s="23"/>
      <c r="J26" s="23"/>
      <c r="K26" s="23"/>
      <c r="L26" s="23"/>
      <c r="M26" s="23"/>
      <c r="N26"/>
      <c r="O26"/>
      <c r="P26"/>
      <c r="Q26"/>
      <c r="R26"/>
      <c r="S26"/>
      <c r="T26"/>
    </row>
    <row r="27" spans="2:20" s="3" customFormat="1" ht="18" x14ac:dyDescent="0.3">
      <c r="B27" s="5" t="s">
        <v>12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/>
      <c r="T27"/>
    </row>
    <row r="28" spans="2:20" s="3" customFormat="1" ht="15.6" x14ac:dyDescent="0.3">
      <c r="B28" s="7" t="s">
        <v>13</v>
      </c>
      <c r="C28" s="7"/>
      <c r="D28" s="9"/>
      <c r="E28" s="24">
        <v>100000</v>
      </c>
      <c r="F28" s="24">
        <v>10000</v>
      </c>
      <c r="G28" s="24">
        <v>10000</v>
      </c>
      <c r="H28" s="24">
        <v>10000</v>
      </c>
      <c r="I28" s="24">
        <v>10000</v>
      </c>
      <c r="J28" s="24">
        <v>10000</v>
      </c>
      <c r="K28" s="24">
        <v>10000</v>
      </c>
      <c r="L28" s="24">
        <v>10000</v>
      </c>
      <c r="M28" s="24">
        <v>10000</v>
      </c>
      <c r="N28" s="24">
        <v>10000</v>
      </c>
      <c r="O28" s="24">
        <v>10000</v>
      </c>
      <c r="P28" s="24">
        <v>10000</v>
      </c>
      <c r="Q28" s="24">
        <v>10000</v>
      </c>
      <c r="R28" s="24">
        <f>SUM(F28:Q28)</f>
        <v>120000</v>
      </c>
      <c r="S28"/>
      <c r="T28"/>
    </row>
    <row r="29" spans="2:20" s="3" customFormat="1" ht="15.6" x14ac:dyDescent="0.3">
      <c r="B29" s="13" t="s">
        <v>14</v>
      </c>
      <c r="C29" s="13"/>
      <c r="D29" s="14"/>
      <c r="E29" s="25">
        <v>50000</v>
      </c>
      <c r="F29" s="25">
        <v>5000</v>
      </c>
      <c r="G29" s="25">
        <v>5000</v>
      </c>
      <c r="H29" s="25">
        <v>5000</v>
      </c>
      <c r="I29" s="25">
        <v>5000</v>
      </c>
      <c r="J29" s="25">
        <v>5000</v>
      </c>
      <c r="K29" s="25">
        <v>5000</v>
      </c>
      <c r="L29" s="25">
        <v>5000</v>
      </c>
      <c r="M29" s="25">
        <v>5000</v>
      </c>
      <c r="N29" s="25">
        <v>5000</v>
      </c>
      <c r="O29" s="25">
        <v>5000</v>
      </c>
      <c r="P29" s="25">
        <v>5000</v>
      </c>
      <c r="Q29" s="25">
        <v>5000</v>
      </c>
      <c r="R29" s="24">
        <f>SUM(F29:Q29)</f>
        <v>60000</v>
      </c>
      <c r="S29"/>
      <c r="T29"/>
    </row>
    <row r="30" spans="2:20" s="3" customFormat="1" ht="15.6" x14ac:dyDescent="0.3">
      <c r="B30" s="26" t="s">
        <v>15</v>
      </c>
      <c r="C30" s="26"/>
      <c r="D30" s="27"/>
      <c r="E30" s="28">
        <f>E28-E29</f>
        <v>50000</v>
      </c>
      <c r="F30" s="28">
        <f t="shared" ref="F30:G30" si="7">F28-F29</f>
        <v>5000</v>
      </c>
      <c r="G30" s="28">
        <f t="shared" si="7"/>
        <v>5000</v>
      </c>
      <c r="H30" s="28">
        <f>H28-H29</f>
        <v>5000</v>
      </c>
      <c r="I30" s="28">
        <f t="shared" ref="I30:R30" si="8">I28-I29</f>
        <v>5000</v>
      </c>
      <c r="J30" s="28">
        <f t="shared" si="8"/>
        <v>5000</v>
      </c>
      <c r="K30" s="28">
        <f t="shared" si="8"/>
        <v>5000</v>
      </c>
      <c r="L30" s="28">
        <f t="shared" si="8"/>
        <v>5000</v>
      </c>
      <c r="M30" s="28">
        <f t="shared" si="8"/>
        <v>5000</v>
      </c>
      <c r="N30" s="28">
        <f t="shared" si="8"/>
        <v>5000</v>
      </c>
      <c r="O30" s="28">
        <f t="shared" si="8"/>
        <v>5000</v>
      </c>
      <c r="P30" s="28">
        <f t="shared" si="8"/>
        <v>5000</v>
      </c>
      <c r="Q30" s="28">
        <f t="shared" si="8"/>
        <v>5000</v>
      </c>
      <c r="R30" s="28">
        <f t="shared" si="8"/>
        <v>60000</v>
      </c>
      <c r="S30"/>
      <c r="T30"/>
    </row>
    <row r="31" spans="2:20" s="3" customFormat="1" ht="15.6" x14ac:dyDescent="0.3">
      <c r="B31" s="29" t="s">
        <v>16</v>
      </c>
      <c r="C31" s="29"/>
      <c r="D31" s="30"/>
      <c r="E31" s="31"/>
      <c r="F31" s="31"/>
      <c r="G31" s="31"/>
      <c r="H31" s="31"/>
      <c r="I31" s="32"/>
      <c r="J31" s="32"/>
      <c r="K31" s="32"/>
      <c r="L31" s="32"/>
      <c r="M31" s="32"/>
      <c r="N31"/>
      <c r="O31"/>
      <c r="P31"/>
      <c r="Q31"/>
      <c r="R31"/>
      <c r="S31"/>
      <c r="T31"/>
    </row>
    <row r="32" spans="2:20" s="3" customFormat="1" ht="15.6" x14ac:dyDescent="0.3">
      <c r="B32" s="3" t="s">
        <v>17</v>
      </c>
      <c r="D32" s="57"/>
      <c r="E32" s="33">
        <v>26427</v>
      </c>
      <c r="F32" s="33">
        <v>23872</v>
      </c>
      <c r="G32" s="33">
        <v>23002</v>
      </c>
      <c r="H32" s="33">
        <v>25245</v>
      </c>
      <c r="I32" s="34">
        <f>I13</f>
        <v>25000</v>
      </c>
      <c r="J32" s="34">
        <f t="shared" ref="J32:M33" si="9">J13</f>
        <v>25000</v>
      </c>
      <c r="K32" s="34">
        <f t="shared" si="9"/>
        <v>25000</v>
      </c>
      <c r="L32" s="34">
        <f t="shared" si="9"/>
        <v>25000</v>
      </c>
      <c r="M32" s="34">
        <f t="shared" si="9"/>
        <v>25000</v>
      </c>
      <c r="N32" s="34">
        <f t="shared" ref="N32:R32" si="10">N13</f>
        <v>0</v>
      </c>
      <c r="O32" s="34">
        <f t="shared" si="10"/>
        <v>0</v>
      </c>
      <c r="P32" s="34">
        <f t="shared" si="10"/>
        <v>0</v>
      </c>
      <c r="Q32" s="34">
        <f t="shared" si="10"/>
        <v>0</v>
      </c>
      <c r="R32" s="34">
        <f t="shared" si="10"/>
        <v>0</v>
      </c>
      <c r="S32"/>
      <c r="T32"/>
    </row>
    <row r="33" spans="2:20" s="3" customFormat="1" ht="15.6" x14ac:dyDescent="0.3">
      <c r="B33" s="3" t="s">
        <v>18</v>
      </c>
      <c r="D33" s="57"/>
      <c r="E33" s="33">
        <v>10963</v>
      </c>
      <c r="F33" s="33">
        <v>10087</v>
      </c>
      <c r="G33" s="33">
        <v>11020</v>
      </c>
      <c r="H33" s="33">
        <v>11412</v>
      </c>
      <c r="I33" s="34">
        <f>I14</f>
        <v>10000</v>
      </c>
      <c r="J33" s="34">
        <f t="shared" si="9"/>
        <v>10000</v>
      </c>
      <c r="K33" s="34">
        <f t="shared" si="9"/>
        <v>10000</v>
      </c>
      <c r="L33" s="34">
        <f t="shared" si="9"/>
        <v>10000</v>
      </c>
      <c r="M33" s="34">
        <f t="shared" si="9"/>
        <v>10000</v>
      </c>
      <c r="N33" s="34">
        <f t="shared" ref="N33:R33" si="11">N14</f>
        <v>0</v>
      </c>
      <c r="O33" s="34">
        <f t="shared" si="11"/>
        <v>0</v>
      </c>
      <c r="P33" s="34">
        <f t="shared" si="11"/>
        <v>0</v>
      </c>
      <c r="Q33" s="34">
        <f t="shared" si="11"/>
        <v>0</v>
      </c>
      <c r="R33" s="34">
        <f t="shared" si="11"/>
        <v>0</v>
      </c>
      <c r="S33"/>
      <c r="T33"/>
    </row>
    <row r="34" spans="2:20" s="3" customFormat="1" ht="15.6" x14ac:dyDescent="0.3">
      <c r="B34" s="3" t="s">
        <v>19</v>
      </c>
      <c r="D34" s="57"/>
      <c r="E34" s="33">
        <v>19500</v>
      </c>
      <c r="F34" s="33">
        <v>17205</v>
      </c>
      <c r="G34" s="33">
        <v>16543.5</v>
      </c>
      <c r="H34" s="33">
        <v>16080.449999999999</v>
      </c>
      <c r="I34" s="34">
        <f>I98</f>
        <v>15008.420000000002</v>
      </c>
      <c r="J34" s="34">
        <f t="shared" ref="J34:M34" si="12">J98</f>
        <v>15005.052000000003</v>
      </c>
      <c r="K34" s="34">
        <f t="shared" si="12"/>
        <v>13003.031200000001</v>
      </c>
      <c r="L34" s="34">
        <f t="shared" si="12"/>
        <v>17801.818719999999</v>
      </c>
      <c r="M34" s="34">
        <f t="shared" si="12"/>
        <v>14681.091232000001</v>
      </c>
      <c r="N34" s="34">
        <f t="shared" ref="N34:R34" si="13">N98</f>
        <v>0</v>
      </c>
      <c r="O34" s="34">
        <f t="shared" si="13"/>
        <v>0</v>
      </c>
      <c r="P34" s="34">
        <f t="shared" si="13"/>
        <v>0</v>
      </c>
      <c r="Q34" s="34">
        <f t="shared" si="13"/>
        <v>0</v>
      </c>
      <c r="R34" s="34">
        <f t="shared" si="13"/>
        <v>0</v>
      </c>
      <c r="S34"/>
      <c r="T34"/>
    </row>
    <row r="35" spans="2:20" s="3" customFormat="1" ht="15.6" x14ac:dyDescent="0.3">
      <c r="B35" s="35" t="s">
        <v>20</v>
      </c>
      <c r="C35" s="35"/>
      <c r="D35" s="36"/>
      <c r="E35" s="37">
        <v>2500</v>
      </c>
      <c r="F35" s="37">
        <v>1500</v>
      </c>
      <c r="G35" s="37">
        <v>900</v>
      </c>
      <c r="H35" s="37">
        <v>900</v>
      </c>
      <c r="I35" s="38">
        <f>I105</f>
        <v>900</v>
      </c>
      <c r="J35" s="38">
        <f t="shared" ref="J35:M35" si="14">J105</f>
        <v>900</v>
      </c>
      <c r="K35" s="38">
        <f t="shared" si="14"/>
        <v>900</v>
      </c>
      <c r="L35" s="38">
        <f t="shared" si="14"/>
        <v>300</v>
      </c>
      <c r="M35" s="38">
        <f t="shared" si="14"/>
        <v>300</v>
      </c>
      <c r="N35" s="38">
        <f t="shared" ref="N35:R35" si="15">N105</f>
        <v>0</v>
      </c>
      <c r="O35" s="38">
        <f t="shared" si="15"/>
        <v>0</v>
      </c>
      <c r="P35" s="38">
        <f t="shared" si="15"/>
        <v>0</v>
      </c>
      <c r="Q35" s="38">
        <f t="shared" si="15"/>
        <v>0</v>
      </c>
      <c r="R35" s="38">
        <f t="shared" si="15"/>
        <v>0</v>
      </c>
      <c r="S35"/>
      <c r="T35"/>
    </row>
    <row r="36" spans="2:20" s="3" customFormat="1" ht="15.6" x14ac:dyDescent="0.3">
      <c r="B36" s="29" t="s">
        <v>21</v>
      </c>
      <c r="C36" s="13"/>
      <c r="D36" s="14"/>
      <c r="E36" s="32">
        <f>SUM(E32:E35)</f>
        <v>59390</v>
      </c>
      <c r="F36" s="32">
        <f t="shared" ref="F36:R36" si="16">SUM(F32:F35)</f>
        <v>52664</v>
      </c>
      <c r="G36" s="32">
        <f t="shared" si="16"/>
        <v>51465.5</v>
      </c>
      <c r="H36" s="32">
        <f t="shared" si="16"/>
        <v>53637.45</v>
      </c>
      <c r="I36" s="32">
        <f t="shared" si="16"/>
        <v>50908.42</v>
      </c>
      <c r="J36" s="32">
        <f t="shared" si="16"/>
        <v>50905.052000000003</v>
      </c>
      <c r="K36" s="32">
        <f t="shared" si="16"/>
        <v>48903.031199999998</v>
      </c>
      <c r="L36" s="32">
        <f t="shared" si="16"/>
        <v>53101.818719999996</v>
      </c>
      <c r="M36" s="32">
        <f t="shared" si="16"/>
        <v>49981.091231999999</v>
      </c>
      <c r="N36" s="32">
        <f t="shared" si="16"/>
        <v>0</v>
      </c>
      <c r="O36" s="32">
        <f t="shared" si="16"/>
        <v>0</v>
      </c>
      <c r="P36" s="32">
        <f t="shared" si="16"/>
        <v>0</v>
      </c>
      <c r="Q36" s="32">
        <f t="shared" si="16"/>
        <v>0</v>
      </c>
      <c r="R36" s="32">
        <f t="shared" si="16"/>
        <v>0</v>
      </c>
      <c r="S36"/>
      <c r="T36"/>
    </row>
    <row r="37" spans="2:20" s="3" customFormat="1" ht="15.6" collapsed="1" x14ac:dyDescent="0.3">
      <c r="B37" s="26" t="s">
        <v>22</v>
      </c>
      <c r="C37" s="26"/>
      <c r="D37" s="27"/>
      <c r="E37" s="28">
        <f>E30-E36</f>
        <v>-9390</v>
      </c>
      <c r="F37" s="28">
        <f t="shared" ref="F37:R37" si="17">F30-F36</f>
        <v>-47664</v>
      </c>
      <c r="G37" s="28">
        <f t="shared" si="17"/>
        <v>-46465.5</v>
      </c>
      <c r="H37" s="28">
        <f t="shared" si="17"/>
        <v>-48637.45</v>
      </c>
      <c r="I37" s="28">
        <f t="shared" si="17"/>
        <v>-45908.42</v>
      </c>
      <c r="J37" s="28">
        <f t="shared" si="17"/>
        <v>-45905.052000000003</v>
      </c>
      <c r="K37" s="28">
        <f t="shared" si="17"/>
        <v>-43903.031199999998</v>
      </c>
      <c r="L37" s="28">
        <f t="shared" si="17"/>
        <v>-48101.818719999996</v>
      </c>
      <c r="M37" s="28">
        <f t="shared" si="17"/>
        <v>-44981.091231999999</v>
      </c>
      <c r="N37" s="28">
        <f t="shared" si="17"/>
        <v>5000</v>
      </c>
      <c r="O37" s="28">
        <f t="shared" si="17"/>
        <v>5000</v>
      </c>
      <c r="P37" s="28">
        <f t="shared" si="17"/>
        <v>5000</v>
      </c>
      <c r="Q37" s="28">
        <f t="shared" si="17"/>
        <v>5000</v>
      </c>
      <c r="R37" s="28">
        <f t="shared" si="17"/>
        <v>60000</v>
      </c>
      <c r="S37"/>
      <c r="T37"/>
    </row>
    <row r="38" spans="2:20" s="3" customFormat="1" ht="15.6" x14ac:dyDescent="0.3">
      <c r="B38" s="29"/>
      <c r="C38" s="29"/>
      <c r="D38" s="30"/>
      <c r="E38" s="31"/>
      <c r="F38" s="31"/>
      <c r="G38" s="31"/>
      <c r="H38" s="31"/>
      <c r="I38" s="32"/>
      <c r="J38" s="32"/>
      <c r="K38" s="32"/>
      <c r="L38" s="32"/>
      <c r="M38" s="32"/>
      <c r="N38"/>
      <c r="O38"/>
      <c r="P38"/>
      <c r="Q38"/>
      <c r="R38"/>
      <c r="S38"/>
      <c r="T38"/>
    </row>
    <row r="39" spans="2:20" s="3" customFormat="1" ht="15.6" x14ac:dyDescent="0.3">
      <c r="B39" s="13" t="s">
        <v>23</v>
      </c>
      <c r="C39" s="13"/>
      <c r="D39" s="14"/>
      <c r="E39" s="33">
        <v>1120.1708000000001</v>
      </c>
      <c r="F39" s="33">
        <v>8482.8061148686775</v>
      </c>
      <c r="G39" s="33">
        <v>10908.02097640469</v>
      </c>
      <c r="H39" s="33">
        <v>11597.665241419718</v>
      </c>
      <c r="I39" s="39">
        <f>I37*I17</f>
        <v>-12854.357600000001</v>
      </c>
      <c r="J39" s="39">
        <f t="shared" ref="J39:R39" si="18">J37*J17</f>
        <v>-12853.414560000003</v>
      </c>
      <c r="K39" s="39">
        <f t="shared" si="18"/>
        <v>-12292.848736</v>
      </c>
      <c r="L39" s="39">
        <f t="shared" si="18"/>
        <v>-13468.509241600001</v>
      </c>
      <c r="M39" s="39">
        <f t="shared" si="18"/>
        <v>-12594.705544960001</v>
      </c>
      <c r="N39" s="39">
        <f t="shared" si="18"/>
        <v>0</v>
      </c>
      <c r="O39" s="39">
        <f t="shared" si="18"/>
        <v>0</v>
      </c>
      <c r="P39" s="39">
        <f t="shared" si="18"/>
        <v>0</v>
      </c>
      <c r="Q39" s="39">
        <f t="shared" si="18"/>
        <v>0</v>
      </c>
      <c r="R39" s="39">
        <f t="shared" si="18"/>
        <v>0</v>
      </c>
      <c r="S39"/>
      <c r="T39"/>
    </row>
    <row r="40" spans="2:20" s="3" customFormat="1" ht="16.2" thickBot="1" x14ac:dyDescent="0.35">
      <c r="B40" s="40" t="s">
        <v>24</v>
      </c>
      <c r="C40" s="40"/>
      <c r="D40" s="41"/>
      <c r="E40" s="42">
        <f>E37-E39</f>
        <v>-10510.1708</v>
      </c>
      <c r="F40" s="42">
        <f t="shared" ref="F40:R40" si="19">F37-F39</f>
        <v>-56146.806114868676</v>
      </c>
      <c r="G40" s="42">
        <f t="shared" si="19"/>
        <v>-57373.520976404689</v>
      </c>
      <c r="H40" s="42">
        <f t="shared" si="19"/>
        <v>-60235.115241419713</v>
      </c>
      <c r="I40" s="42">
        <f t="shared" si="19"/>
        <v>-33054.062399999995</v>
      </c>
      <c r="J40" s="42">
        <f t="shared" si="19"/>
        <v>-33051.637439999999</v>
      </c>
      <c r="K40" s="42">
        <f t="shared" si="19"/>
        <v>-31610.182463999998</v>
      </c>
      <c r="L40" s="42">
        <f t="shared" si="19"/>
        <v>-34633.309478399999</v>
      </c>
      <c r="M40" s="42">
        <f t="shared" si="19"/>
        <v>-32386.385687039998</v>
      </c>
      <c r="N40" s="42">
        <f t="shared" si="19"/>
        <v>5000</v>
      </c>
      <c r="O40" s="42">
        <f t="shared" si="19"/>
        <v>5000</v>
      </c>
      <c r="P40" s="42">
        <f t="shared" si="19"/>
        <v>5000</v>
      </c>
      <c r="Q40" s="42">
        <f t="shared" si="19"/>
        <v>5000</v>
      </c>
      <c r="R40" s="42">
        <f t="shared" si="19"/>
        <v>60000</v>
      </c>
      <c r="S40"/>
      <c r="T40"/>
    </row>
    <row r="41" spans="2:20" s="3" customFormat="1" ht="16.2" outlineLevel="1" thickTop="1" x14ac:dyDescent="0.3">
      <c r="D41" s="57"/>
      <c r="E41" s="33"/>
      <c r="F41" s="33"/>
      <c r="G41" s="33"/>
      <c r="H41" s="33"/>
      <c r="N41"/>
      <c r="O41"/>
      <c r="P41"/>
      <c r="Q41"/>
      <c r="R41"/>
      <c r="S41"/>
      <c r="T41"/>
    </row>
    <row r="42" spans="2:20" s="3" customFormat="1" ht="15.6" outlineLevel="1" x14ac:dyDescent="0.3">
      <c r="D42" s="57"/>
      <c r="E42" s="33"/>
      <c r="F42" s="33"/>
      <c r="G42" s="33"/>
      <c r="H42" s="33"/>
      <c r="I42" s="33"/>
      <c r="J42" s="33"/>
      <c r="K42" s="33"/>
      <c r="L42" s="33"/>
      <c r="M42" s="33"/>
      <c r="N42"/>
      <c r="O42"/>
      <c r="P42"/>
      <c r="Q42"/>
      <c r="R42"/>
      <c r="S42"/>
      <c r="T42"/>
    </row>
    <row r="43" spans="2:20" s="3" customFormat="1" ht="18" outlineLevel="1" x14ac:dyDescent="0.3">
      <c r="B43" s="5" t="s">
        <v>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/>
      <c r="T43"/>
    </row>
    <row r="44" spans="2:20" s="3" customFormat="1" ht="15.6" outlineLevel="1" x14ac:dyDescent="0.3">
      <c r="B44" s="7" t="s">
        <v>25</v>
      </c>
      <c r="D44" s="57"/>
      <c r="E44" s="33"/>
      <c r="F44" s="33"/>
      <c r="G44" s="33"/>
      <c r="H44" s="33"/>
      <c r="N44"/>
      <c r="O44"/>
      <c r="P44"/>
      <c r="Q44"/>
      <c r="R44"/>
      <c r="S44"/>
      <c r="T44"/>
    </row>
    <row r="45" spans="2:20" s="3" customFormat="1" ht="15.6" outlineLevel="1" x14ac:dyDescent="0.3">
      <c r="B45" s="3" t="s">
        <v>26</v>
      </c>
      <c r="D45"/>
      <c r="E45" s="33">
        <v>167971.17920000001</v>
      </c>
      <c r="F45" s="33">
        <v>183715.25658300929</v>
      </c>
      <c r="G45" s="33">
        <v>211069.33560660461</v>
      </c>
      <c r="H45" s="33">
        <v>239549.5203651849</v>
      </c>
      <c r="I45" s="3">
        <f>I82</f>
        <v>130265.17659532189</v>
      </c>
      <c r="J45" s="3">
        <f t="shared" ref="J45:M45" si="20">J82</f>
        <v>102218.59115532189</v>
      </c>
      <c r="K45" s="3">
        <f t="shared" si="20"/>
        <v>38611.43989132189</v>
      </c>
      <c r="L45" s="3">
        <f t="shared" si="20"/>
        <v>-138220.05086707813</v>
      </c>
      <c r="M45" s="3">
        <f t="shared" si="20"/>
        <v>-170925.34532211814</v>
      </c>
      <c r="N45" s="3">
        <f t="shared" ref="N45:R45" si="21">N82</f>
        <v>-164939.04395225513</v>
      </c>
      <c r="O45" s="3">
        <f t="shared" si="21"/>
        <v>-159939.04395225513</v>
      </c>
      <c r="P45" s="3">
        <f t="shared" si="21"/>
        <v>-154939.04395225513</v>
      </c>
      <c r="Q45" s="3">
        <f t="shared" si="21"/>
        <v>-149939.04395225513</v>
      </c>
      <c r="R45" s="3">
        <f t="shared" si="21"/>
        <v>-89939.043952255131</v>
      </c>
      <c r="S45"/>
      <c r="T45"/>
    </row>
    <row r="46" spans="2:20" s="3" customFormat="1" ht="15.6" outlineLevel="1" x14ac:dyDescent="0.3">
      <c r="B46" s="3" t="s">
        <v>27</v>
      </c>
      <c r="D46"/>
      <c r="E46" s="33">
        <v>5100.3500000000004</v>
      </c>
      <c r="F46" s="33">
        <v>6567.25</v>
      </c>
      <c r="G46" s="33">
        <v>7117.05</v>
      </c>
      <c r="H46" s="33">
        <v>7538.6</v>
      </c>
      <c r="I46" s="43">
        <f>I28*I19/365</f>
        <v>493.15068493150687</v>
      </c>
      <c r="J46" s="43">
        <f t="shared" ref="J46:M47" si="22">J28*J19/365</f>
        <v>493.15068493150687</v>
      </c>
      <c r="K46" s="43">
        <f t="shared" si="22"/>
        <v>493.15068493150687</v>
      </c>
      <c r="L46" s="43">
        <f t="shared" si="22"/>
        <v>493.15068493150687</v>
      </c>
      <c r="M46" s="43">
        <f t="shared" si="22"/>
        <v>493.15068493150687</v>
      </c>
      <c r="N46" s="43">
        <f t="shared" ref="N46:R46" si="23">N28*N19/365</f>
        <v>0</v>
      </c>
      <c r="O46" s="43">
        <f t="shared" si="23"/>
        <v>0</v>
      </c>
      <c r="P46" s="43">
        <f t="shared" si="23"/>
        <v>0</v>
      </c>
      <c r="Q46" s="43">
        <f t="shared" si="23"/>
        <v>0</v>
      </c>
      <c r="R46" s="43">
        <f t="shared" si="23"/>
        <v>0</v>
      </c>
      <c r="S46"/>
      <c r="T46"/>
    </row>
    <row r="47" spans="2:20" s="3" customFormat="1" ht="15.6" outlineLevel="1" x14ac:dyDescent="0.3">
      <c r="B47" s="3" t="s">
        <v>28</v>
      </c>
      <c r="D47"/>
      <c r="E47" s="33">
        <v>7804.6</v>
      </c>
      <c r="F47" s="33">
        <v>9824.6</v>
      </c>
      <c r="G47" s="33">
        <v>10530.800000000001</v>
      </c>
      <c r="H47" s="33">
        <v>11342</v>
      </c>
      <c r="I47" s="3">
        <f>I29*I20/365</f>
        <v>1000</v>
      </c>
      <c r="J47" s="3">
        <f t="shared" si="22"/>
        <v>1000</v>
      </c>
      <c r="K47" s="3">
        <f t="shared" si="22"/>
        <v>1000</v>
      </c>
      <c r="L47" s="3">
        <f t="shared" si="22"/>
        <v>1000</v>
      </c>
      <c r="M47" s="3">
        <f t="shared" si="22"/>
        <v>1000</v>
      </c>
      <c r="N47" s="3">
        <f t="shared" ref="N47:R47" si="24">N29*N20/365</f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3">
        <f t="shared" si="24"/>
        <v>0</v>
      </c>
      <c r="S47"/>
      <c r="T47"/>
    </row>
    <row r="48" spans="2:20" s="3" customFormat="1" ht="15.6" outlineLevel="1" x14ac:dyDescent="0.3">
      <c r="B48" s="3" t="s">
        <v>29</v>
      </c>
      <c r="D48" s="57"/>
      <c r="E48" s="33">
        <v>45500</v>
      </c>
      <c r="F48" s="33">
        <v>40145</v>
      </c>
      <c r="G48" s="33">
        <v>38601.5</v>
      </c>
      <c r="H48" s="33">
        <v>37521.050000000003</v>
      </c>
      <c r="I48" s="3">
        <f>I99</f>
        <v>37512.630000000005</v>
      </c>
      <c r="J48" s="3">
        <f t="shared" ref="J48:M48" si="25">J99</f>
        <v>32507.578000000001</v>
      </c>
      <c r="K48" s="3">
        <f t="shared" si="25"/>
        <v>44504.546799999996</v>
      </c>
      <c r="L48" s="3">
        <f t="shared" si="25"/>
        <v>36702.728080000001</v>
      </c>
      <c r="M48" s="3">
        <f t="shared" si="25"/>
        <v>37021.636848000002</v>
      </c>
      <c r="N48" s="3">
        <f t="shared" ref="N48:R48" si="26">N99</f>
        <v>37021.636848000002</v>
      </c>
      <c r="O48" s="3">
        <f t="shared" si="26"/>
        <v>37021.636848000002</v>
      </c>
      <c r="P48" s="3">
        <f t="shared" si="26"/>
        <v>37021.636848000002</v>
      </c>
      <c r="Q48" s="3">
        <f t="shared" si="26"/>
        <v>37021.636848000002</v>
      </c>
      <c r="R48" s="3">
        <f t="shared" si="26"/>
        <v>37021.636848000002</v>
      </c>
      <c r="S48"/>
      <c r="T48"/>
    </row>
    <row r="49" spans="2:20" s="3" customFormat="1" ht="16.2" outlineLevel="1" thickBot="1" x14ac:dyDescent="0.35">
      <c r="B49" s="40" t="s">
        <v>30</v>
      </c>
      <c r="C49" s="40"/>
      <c r="D49" s="41"/>
      <c r="E49" s="42">
        <f>SUM(E45:E48)</f>
        <v>226376.12920000002</v>
      </c>
      <c r="F49" s="42">
        <f t="shared" ref="F49:M49" si="27">SUM(F45:F48)</f>
        <v>240252.1065830093</v>
      </c>
      <c r="G49" s="42">
        <f t="shared" si="27"/>
        <v>267318.68560660456</v>
      </c>
      <c r="H49" s="42">
        <f t="shared" si="27"/>
        <v>295951.17036518489</v>
      </c>
      <c r="I49" s="42">
        <f t="shared" si="27"/>
        <v>169270.95728025341</v>
      </c>
      <c r="J49" s="42">
        <f t="shared" si="27"/>
        <v>136219.31984025339</v>
      </c>
      <c r="K49" s="42">
        <f t="shared" si="27"/>
        <v>84609.137376253391</v>
      </c>
      <c r="L49" s="42">
        <f t="shared" si="27"/>
        <v>-100024.17210214661</v>
      </c>
      <c r="M49" s="42">
        <f t="shared" si="27"/>
        <v>-132410.55778918663</v>
      </c>
      <c r="N49" s="42">
        <f t="shared" ref="N49:R49" si="28">SUM(N45:N48)</f>
        <v>-127917.40710425514</v>
      </c>
      <c r="O49" s="42">
        <f t="shared" si="28"/>
        <v>-122917.40710425514</v>
      </c>
      <c r="P49" s="42">
        <f t="shared" si="28"/>
        <v>-117917.40710425514</v>
      </c>
      <c r="Q49" s="42">
        <f t="shared" si="28"/>
        <v>-112917.40710425514</v>
      </c>
      <c r="R49" s="42">
        <f t="shared" si="28"/>
        <v>-52917.40710425513</v>
      </c>
      <c r="S49"/>
      <c r="T49"/>
    </row>
    <row r="50" spans="2:20" s="3" customFormat="1" ht="16.2" outlineLevel="1" thickTop="1" x14ac:dyDescent="0.3">
      <c r="B50" s="29"/>
      <c r="C50" s="29"/>
      <c r="D50" s="30"/>
      <c r="E50" s="31"/>
      <c r="F50" s="31"/>
      <c r="G50" s="31"/>
      <c r="H50" s="31"/>
      <c r="I50" s="29"/>
      <c r="J50" s="29"/>
      <c r="K50" s="29"/>
      <c r="L50" s="29"/>
      <c r="M50" s="29"/>
      <c r="N50"/>
      <c r="O50"/>
      <c r="P50"/>
      <c r="Q50"/>
      <c r="R50"/>
      <c r="S50"/>
      <c r="T50"/>
    </row>
    <row r="51" spans="2:20" s="3" customFormat="1" ht="15.6" outlineLevel="1" x14ac:dyDescent="0.3">
      <c r="B51" s="7" t="s">
        <v>31</v>
      </c>
      <c r="D51"/>
      <c r="E51" s="33"/>
      <c r="F51" s="33"/>
      <c r="G51" s="33"/>
      <c r="H51" s="33"/>
      <c r="N51"/>
      <c r="O51"/>
      <c r="P51"/>
      <c r="Q51"/>
      <c r="R51"/>
      <c r="S51"/>
      <c r="T51"/>
    </row>
    <row r="52" spans="2:20" s="3" customFormat="1" ht="15.6" outlineLevel="1" x14ac:dyDescent="0.3">
      <c r="B52" s="3" t="s">
        <v>32</v>
      </c>
      <c r="D52"/>
      <c r="E52" s="33">
        <v>3902.3</v>
      </c>
      <c r="F52" s="33">
        <v>4912.3</v>
      </c>
      <c r="G52" s="33">
        <v>5265.4000000000005</v>
      </c>
      <c r="H52" s="33">
        <v>5671</v>
      </c>
      <c r="I52" s="3">
        <f>I29*I21/365</f>
        <v>506.84931506849313</v>
      </c>
      <c r="J52" s="3">
        <f t="shared" ref="J52:M52" si="29">J29*J21/365</f>
        <v>506.84931506849313</v>
      </c>
      <c r="K52" s="3">
        <f t="shared" si="29"/>
        <v>506.84931506849313</v>
      </c>
      <c r="L52" s="3">
        <f t="shared" si="29"/>
        <v>506.84931506849313</v>
      </c>
      <c r="M52" s="3">
        <f t="shared" si="29"/>
        <v>506.84931506849313</v>
      </c>
      <c r="N52" s="3">
        <f t="shared" ref="N52:R52" si="30">N29*N21/365</f>
        <v>0</v>
      </c>
      <c r="O52" s="3">
        <f t="shared" si="30"/>
        <v>0</v>
      </c>
      <c r="P52" s="3">
        <f t="shared" si="30"/>
        <v>0</v>
      </c>
      <c r="Q52" s="3">
        <f t="shared" si="30"/>
        <v>0</v>
      </c>
      <c r="R52" s="3">
        <f t="shared" si="30"/>
        <v>0</v>
      </c>
      <c r="S52"/>
      <c r="T52"/>
    </row>
    <row r="53" spans="2:20" s="3" customFormat="1" ht="15.6" outlineLevel="1" x14ac:dyDescent="0.3">
      <c r="B53" s="3" t="s">
        <v>33</v>
      </c>
      <c r="D53" s="57"/>
      <c r="E53" s="33">
        <v>50000</v>
      </c>
      <c r="F53" s="33">
        <v>30000</v>
      </c>
      <c r="G53" s="33">
        <v>30000</v>
      </c>
      <c r="H53" s="33">
        <v>30000</v>
      </c>
      <c r="I53" s="3">
        <f>I104</f>
        <v>30000</v>
      </c>
      <c r="J53" s="3">
        <f t="shared" ref="J53:M53" si="31">J104</f>
        <v>30000</v>
      </c>
      <c r="K53" s="3">
        <f t="shared" si="31"/>
        <v>10000</v>
      </c>
      <c r="L53" s="3">
        <f t="shared" si="31"/>
        <v>10000</v>
      </c>
      <c r="M53" s="3">
        <f t="shared" si="31"/>
        <v>10000</v>
      </c>
      <c r="N53" s="3">
        <f t="shared" ref="N53:R53" si="32">N104</f>
        <v>10000</v>
      </c>
      <c r="O53" s="3">
        <f t="shared" si="32"/>
        <v>10000</v>
      </c>
      <c r="P53" s="3">
        <f t="shared" si="32"/>
        <v>10000</v>
      </c>
      <c r="Q53" s="3">
        <f t="shared" si="32"/>
        <v>10000</v>
      </c>
      <c r="R53" s="3">
        <f t="shared" si="32"/>
        <v>10000</v>
      </c>
      <c r="S53"/>
      <c r="T53"/>
    </row>
    <row r="54" spans="2:20" s="3" customFormat="1" ht="15.6" outlineLevel="1" x14ac:dyDescent="0.3">
      <c r="B54" s="26" t="s">
        <v>34</v>
      </c>
      <c r="C54" s="26"/>
      <c r="D54" s="27"/>
      <c r="E54" s="28">
        <f>SUM(E52:E53)</f>
        <v>53902.3</v>
      </c>
      <c r="F54" s="28">
        <f t="shared" ref="F54:M54" si="33">SUM(F52:F53)</f>
        <v>34912.300000000003</v>
      </c>
      <c r="G54" s="28">
        <f t="shared" si="33"/>
        <v>35265.4</v>
      </c>
      <c r="H54" s="28">
        <f t="shared" si="33"/>
        <v>35671</v>
      </c>
      <c r="I54" s="28">
        <f t="shared" si="33"/>
        <v>30506.849315068492</v>
      </c>
      <c r="J54" s="28">
        <f t="shared" si="33"/>
        <v>30506.849315068492</v>
      </c>
      <c r="K54" s="28">
        <f t="shared" si="33"/>
        <v>10506.849315068494</v>
      </c>
      <c r="L54" s="28">
        <f t="shared" si="33"/>
        <v>10506.849315068494</v>
      </c>
      <c r="M54" s="28">
        <f t="shared" si="33"/>
        <v>10506.849315068494</v>
      </c>
      <c r="N54" s="28">
        <f t="shared" ref="N54:R54" si="34">SUM(N52:N53)</f>
        <v>10000</v>
      </c>
      <c r="O54" s="28">
        <f t="shared" si="34"/>
        <v>10000</v>
      </c>
      <c r="P54" s="28">
        <f t="shared" si="34"/>
        <v>10000</v>
      </c>
      <c r="Q54" s="28">
        <f t="shared" si="34"/>
        <v>10000</v>
      </c>
      <c r="R54" s="28">
        <f t="shared" si="34"/>
        <v>10000</v>
      </c>
      <c r="S54"/>
      <c r="T54"/>
    </row>
    <row r="55" spans="2:20" s="3" customFormat="1" ht="15.6" outlineLevel="1" x14ac:dyDescent="0.3">
      <c r="B55" s="7" t="s">
        <v>35</v>
      </c>
      <c r="D55" s="57"/>
      <c r="E55" s="33"/>
      <c r="F55" s="33"/>
      <c r="G55" s="33"/>
      <c r="H55" s="33"/>
      <c r="S55"/>
      <c r="T55"/>
    </row>
    <row r="56" spans="2:20" s="3" customFormat="1" ht="15.6" outlineLevel="1" x14ac:dyDescent="0.3">
      <c r="B56" s="3" t="s">
        <v>36</v>
      </c>
      <c r="D56" s="57"/>
      <c r="E56" s="33">
        <v>170000</v>
      </c>
      <c r="F56" s="33">
        <v>170000</v>
      </c>
      <c r="G56" s="33">
        <v>170000</v>
      </c>
      <c r="H56" s="33">
        <v>170000</v>
      </c>
      <c r="I56" s="3">
        <f>H56+I24</f>
        <v>170000</v>
      </c>
      <c r="J56" s="3">
        <f t="shared" ref="J56:M56" si="35">I56+J24</f>
        <v>170000</v>
      </c>
      <c r="K56" s="3">
        <f t="shared" si="35"/>
        <v>170000</v>
      </c>
      <c r="L56" s="3">
        <f t="shared" si="35"/>
        <v>20000</v>
      </c>
      <c r="M56" s="3">
        <f t="shared" si="35"/>
        <v>20000</v>
      </c>
      <c r="N56" s="3">
        <f t="shared" ref="N56" si="36">M56+N24</f>
        <v>20000</v>
      </c>
      <c r="O56" s="3">
        <f t="shared" ref="O56" si="37">N56+O24</f>
        <v>20000</v>
      </c>
      <c r="P56" s="3">
        <f t="shared" ref="P56" si="38">O56+P24</f>
        <v>20000</v>
      </c>
      <c r="Q56" s="3">
        <f t="shared" ref="Q56" si="39">P56+Q24</f>
        <v>20000</v>
      </c>
      <c r="R56" s="3">
        <f t="shared" ref="R56" si="40">Q56+R24</f>
        <v>20000</v>
      </c>
      <c r="S56"/>
      <c r="T56"/>
    </row>
    <row r="57" spans="2:20" s="3" customFormat="1" ht="15.6" outlineLevel="1" x14ac:dyDescent="0.3">
      <c r="B57" s="3" t="s">
        <v>37</v>
      </c>
      <c r="D57" s="57"/>
      <c r="E57" s="33">
        <v>2473.8292000000001</v>
      </c>
      <c r="F57" s="33">
        <v>35339.806583009296</v>
      </c>
      <c r="G57" s="33">
        <v>62053.285606604608</v>
      </c>
      <c r="H57" s="33">
        <v>90280.170365184895</v>
      </c>
      <c r="I57" s="3">
        <f>H57+I40</f>
        <v>57226.1079651849</v>
      </c>
      <c r="J57" s="3">
        <f t="shared" ref="J57:M57" si="41">I57+J40</f>
        <v>24174.470525184901</v>
      </c>
      <c r="K57" s="3">
        <f t="shared" si="41"/>
        <v>-7435.7119388150968</v>
      </c>
      <c r="L57" s="3">
        <f t="shared" si="41"/>
        <v>-42069.021417215095</v>
      </c>
      <c r="M57" s="3">
        <f t="shared" si="41"/>
        <v>-74455.407104255093</v>
      </c>
      <c r="N57" s="3">
        <f t="shared" ref="N57" si="42">M57+N40</f>
        <v>-69455.407104255093</v>
      </c>
      <c r="O57" s="3">
        <f t="shared" ref="O57" si="43">N57+O40</f>
        <v>-64455.407104255093</v>
      </c>
      <c r="P57" s="3">
        <f t="shared" ref="P57" si="44">O57+P40</f>
        <v>-59455.407104255093</v>
      </c>
      <c r="Q57" s="3">
        <f t="shared" ref="Q57" si="45">P57+Q40</f>
        <v>-54455.407104255093</v>
      </c>
      <c r="R57" s="3">
        <f t="shared" ref="R57" si="46">Q57+R40</f>
        <v>5544.5928957449069</v>
      </c>
      <c r="S57"/>
      <c r="T57"/>
    </row>
    <row r="58" spans="2:20" s="3" customFormat="1" ht="15.6" outlineLevel="1" x14ac:dyDescent="0.3">
      <c r="B58" s="44" t="s">
        <v>35</v>
      </c>
      <c r="C58" s="44"/>
      <c r="D58" s="45"/>
      <c r="E58" s="46">
        <f>SUM(E56:E57)</f>
        <v>172473.82920000001</v>
      </c>
      <c r="F58" s="46">
        <f t="shared" ref="F58:M58" si="47">SUM(F56:F57)</f>
        <v>205339.80658300931</v>
      </c>
      <c r="G58" s="46">
        <f t="shared" si="47"/>
        <v>232053.28560660459</v>
      </c>
      <c r="H58" s="46">
        <f t="shared" si="47"/>
        <v>260280.17036518489</v>
      </c>
      <c r="I58" s="46">
        <f t="shared" si="47"/>
        <v>227226.1079651849</v>
      </c>
      <c r="J58" s="46">
        <f t="shared" si="47"/>
        <v>194174.47052518491</v>
      </c>
      <c r="K58" s="46">
        <f t="shared" si="47"/>
        <v>162564.2880611849</v>
      </c>
      <c r="L58" s="46">
        <f t="shared" si="47"/>
        <v>-22069.021417215095</v>
      </c>
      <c r="M58" s="46">
        <f t="shared" si="47"/>
        <v>-54455.407104255093</v>
      </c>
      <c r="N58" s="46">
        <f t="shared" ref="N58:R58" si="48">SUM(N56:N57)</f>
        <v>-49455.407104255093</v>
      </c>
      <c r="O58" s="46">
        <f t="shared" si="48"/>
        <v>-44455.407104255093</v>
      </c>
      <c r="P58" s="46">
        <f t="shared" si="48"/>
        <v>-39455.407104255093</v>
      </c>
      <c r="Q58" s="46">
        <f t="shared" si="48"/>
        <v>-34455.407104255093</v>
      </c>
      <c r="R58" s="46">
        <f t="shared" si="48"/>
        <v>25544.592895744907</v>
      </c>
      <c r="S58"/>
      <c r="T58"/>
    </row>
    <row r="59" spans="2:20" s="3" customFormat="1" ht="16.2" thickBot="1" x14ac:dyDescent="0.35">
      <c r="B59" s="40" t="s">
        <v>38</v>
      </c>
      <c r="C59" s="40"/>
      <c r="D59" s="41"/>
      <c r="E59" s="42">
        <f>E54+E58</f>
        <v>226376.12920000002</v>
      </c>
      <c r="F59" s="42">
        <f t="shared" ref="F59:M59" si="49">F54+F58</f>
        <v>240252.1065830093</v>
      </c>
      <c r="G59" s="42">
        <f t="shared" si="49"/>
        <v>267318.68560660462</v>
      </c>
      <c r="H59" s="42">
        <f t="shared" si="49"/>
        <v>295951.17036518489</v>
      </c>
      <c r="I59" s="42">
        <f t="shared" si="49"/>
        <v>257732.95728025338</v>
      </c>
      <c r="J59" s="42">
        <f t="shared" si="49"/>
        <v>224681.31984025339</v>
      </c>
      <c r="K59" s="42">
        <f t="shared" si="49"/>
        <v>173071.13737625338</v>
      </c>
      <c r="L59" s="42">
        <f t="shared" si="49"/>
        <v>-11562.172102146602</v>
      </c>
      <c r="M59" s="42">
        <f t="shared" si="49"/>
        <v>-43948.557789186598</v>
      </c>
      <c r="N59" s="42">
        <f t="shared" ref="N59:R59" si="50">N54+N58</f>
        <v>-39455.407104255093</v>
      </c>
      <c r="O59" s="42">
        <f t="shared" si="50"/>
        <v>-34455.407104255093</v>
      </c>
      <c r="P59" s="42">
        <f t="shared" si="50"/>
        <v>-29455.407104255093</v>
      </c>
      <c r="Q59" s="42">
        <f t="shared" si="50"/>
        <v>-24455.407104255093</v>
      </c>
      <c r="R59" s="42">
        <f t="shared" si="50"/>
        <v>35544.592895744907</v>
      </c>
      <c r="S59"/>
      <c r="T59"/>
    </row>
    <row r="60" spans="2:20" s="3" customFormat="1" ht="16.2" thickTop="1" x14ac:dyDescent="0.3">
      <c r="D60" s="57"/>
      <c r="E60" s="33"/>
      <c r="F60" s="33"/>
      <c r="G60" s="33"/>
      <c r="H60" s="33"/>
      <c r="I60" s="33"/>
      <c r="J60" s="33"/>
      <c r="K60" s="33"/>
      <c r="L60" s="33"/>
      <c r="M60" s="33"/>
      <c r="N60"/>
      <c r="O60"/>
      <c r="P60"/>
      <c r="Q60"/>
      <c r="R60"/>
      <c r="S60"/>
      <c r="T60"/>
    </row>
    <row r="61" spans="2:20" s="3" customFormat="1" ht="15.6" outlineLevel="1" x14ac:dyDescent="0.3">
      <c r="B61" s="47" t="s">
        <v>39</v>
      </c>
      <c r="C61" s="48"/>
      <c r="D61" s="49"/>
      <c r="E61" s="50">
        <f>E59-E49</f>
        <v>0</v>
      </c>
      <c r="F61" s="50">
        <f t="shared" ref="F61:R61" si="51">F59-F49</f>
        <v>0</v>
      </c>
      <c r="G61" s="50">
        <f t="shared" si="51"/>
        <v>0</v>
      </c>
      <c r="H61" s="50">
        <f t="shared" si="51"/>
        <v>0</v>
      </c>
      <c r="I61" s="50">
        <f t="shared" si="51"/>
        <v>88461.999999999971</v>
      </c>
      <c r="J61" s="50">
        <f t="shared" si="51"/>
        <v>88462</v>
      </c>
      <c r="K61" s="50">
        <f t="shared" si="51"/>
        <v>88461.999999999985</v>
      </c>
      <c r="L61" s="50">
        <f t="shared" si="51"/>
        <v>88462</v>
      </c>
      <c r="M61" s="50">
        <f t="shared" si="51"/>
        <v>88462.000000000029</v>
      </c>
      <c r="N61" s="50">
        <f t="shared" si="51"/>
        <v>88462.000000000044</v>
      </c>
      <c r="O61" s="50">
        <f t="shared" si="51"/>
        <v>88462.000000000044</v>
      </c>
      <c r="P61" s="50">
        <f t="shared" si="51"/>
        <v>88462.000000000044</v>
      </c>
      <c r="Q61" s="50">
        <f t="shared" si="51"/>
        <v>88462.000000000044</v>
      </c>
      <c r="R61" s="50">
        <f t="shared" si="51"/>
        <v>88462.000000000029</v>
      </c>
    </row>
    <row r="62" spans="2:20" s="3" customFormat="1" ht="15.6" outlineLevel="1" x14ac:dyDescent="0.3">
      <c r="B62" s="48"/>
      <c r="C62" s="48"/>
      <c r="D62" s="49"/>
      <c r="E62" s="48"/>
      <c r="F62" s="48"/>
      <c r="G62" s="48"/>
      <c r="H62" s="48"/>
      <c r="I62" s="48"/>
      <c r="J62" s="48"/>
      <c r="K62" s="48"/>
      <c r="L62" s="48"/>
      <c r="M62" s="48"/>
    </row>
    <row r="63" spans="2:20" s="3" customFormat="1" ht="15.6" outlineLevel="1" x14ac:dyDescent="0.3">
      <c r="D63" s="57"/>
      <c r="E63" s="33"/>
      <c r="F63" s="33"/>
      <c r="G63" s="33"/>
      <c r="H63" s="33"/>
    </row>
    <row r="64" spans="2:20" s="3" customFormat="1" ht="18" outlineLevel="1" x14ac:dyDescent="0.3">
      <c r="B64" s="5" t="s">
        <v>40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s="3" customFormat="1" ht="15.6" outlineLevel="1" x14ac:dyDescent="0.3">
      <c r="B65" s="7" t="s">
        <v>41</v>
      </c>
      <c r="D65" s="57"/>
      <c r="E65" s="33"/>
      <c r="F65" s="33"/>
      <c r="G65" s="33"/>
      <c r="H65" s="33"/>
    </row>
    <row r="66" spans="2:18" s="3" customFormat="1" ht="15.6" outlineLevel="1" x14ac:dyDescent="0.3">
      <c r="B66" s="3" t="s">
        <v>24</v>
      </c>
      <c r="D66" s="57"/>
      <c r="E66" s="3">
        <f t="shared" ref="E66:M66" si="52">E40</f>
        <v>-10510.1708</v>
      </c>
      <c r="F66" s="3">
        <f t="shared" si="52"/>
        <v>-56146.806114868676</v>
      </c>
      <c r="G66" s="3">
        <f t="shared" si="52"/>
        <v>-57373.520976404689</v>
      </c>
      <c r="H66" s="3">
        <f t="shared" si="52"/>
        <v>-60235.115241419713</v>
      </c>
      <c r="I66" s="3">
        <f t="shared" si="52"/>
        <v>-33054.062399999995</v>
      </c>
      <c r="J66" s="3">
        <f t="shared" si="52"/>
        <v>-33051.637439999999</v>
      </c>
      <c r="K66" s="3">
        <f t="shared" si="52"/>
        <v>-31610.182463999998</v>
      </c>
      <c r="L66" s="3">
        <f t="shared" si="52"/>
        <v>-34633.309478399999</v>
      </c>
      <c r="M66" s="3">
        <f t="shared" si="52"/>
        <v>-32386.385687039998</v>
      </c>
      <c r="N66" s="3">
        <f t="shared" ref="N66:R66" si="53">N40</f>
        <v>5000</v>
      </c>
      <c r="O66" s="3">
        <f t="shared" si="53"/>
        <v>5000</v>
      </c>
      <c r="P66" s="3">
        <f t="shared" si="53"/>
        <v>5000</v>
      </c>
      <c r="Q66" s="3">
        <f t="shared" si="53"/>
        <v>5000</v>
      </c>
      <c r="R66" s="3">
        <f t="shared" si="53"/>
        <v>60000</v>
      </c>
    </row>
    <row r="67" spans="2:18" s="3" customFormat="1" ht="15.6" outlineLevel="1" x14ac:dyDescent="0.3">
      <c r="B67" s="3" t="s">
        <v>42</v>
      </c>
      <c r="D67" s="57"/>
      <c r="E67" s="3">
        <f>+E34</f>
        <v>19500</v>
      </c>
      <c r="F67" s="3">
        <f t="shared" ref="F67:H67" si="54">+F34</f>
        <v>17205</v>
      </c>
      <c r="G67" s="3">
        <f t="shared" si="54"/>
        <v>16543.5</v>
      </c>
      <c r="H67" s="3">
        <f t="shared" si="54"/>
        <v>16080.449999999999</v>
      </c>
      <c r="I67" s="3">
        <f>+I34</f>
        <v>15008.420000000002</v>
      </c>
      <c r="J67" s="3">
        <f t="shared" ref="J67:M67" si="55">+J34</f>
        <v>15005.052000000003</v>
      </c>
      <c r="K67" s="3">
        <f t="shared" si="55"/>
        <v>13003.031200000001</v>
      </c>
      <c r="L67" s="3">
        <f t="shared" si="55"/>
        <v>17801.818719999999</v>
      </c>
      <c r="M67" s="3">
        <f t="shared" si="55"/>
        <v>14681.091232000001</v>
      </c>
      <c r="N67" s="3">
        <f t="shared" ref="N67:R67" si="56">+N34</f>
        <v>0</v>
      </c>
      <c r="O67" s="3">
        <f t="shared" si="56"/>
        <v>0</v>
      </c>
      <c r="P67" s="3">
        <f t="shared" si="56"/>
        <v>0</v>
      </c>
      <c r="Q67" s="3">
        <f t="shared" si="56"/>
        <v>0</v>
      </c>
      <c r="R67" s="3">
        <f t="shared" si="56"/>
        <v>0</v>
      </c>
    </row>
    <row r="68" spans="2:18" s="3" customFormat="1" ht="15.6" outlineLevel="1" x14ac:dyDescent="0.3">
      <c r="B68" s="3" t="s">
        <v>43</v>
      </c>
      <c r="D68" s="57"/>
      <c r="E68" s="33">
        <v>9002.6500000000015</v>
      </c>
      <c r="F68" s="33">
        <v>774.84999999999854</v>
      </c>
      <c r="G68" s="33">
        <v>902.90000000000146</v>
      </c>
      <c r="H68" s="33">
        <v>827.14999999999782</v>
      </c>
      <c r="I68" s="3">
        <f>I93</f>
        <v>-12223.298630136986</v>
      </c>
      <c r="J68" s="3">
        <f t="shared" ref="J68:M68" si="57">J93</f>
        <v>0</v>
      </c>
      <c r="K68" s="3">
        <f t="shared" si="57"/>
        <v>0</v>
      </c>
      <c r="L68" s="3">
        <f t="shared" si="57"/>
        <v>0</v>
      </c>
      <c r="M68" s="3">
        <f t="shared" si="57"/>
        <v>0</v>
      </c>
      <c r="N68" s="3">
        <f t="shared" ref="N68:R68" si="58">N93</f>
        <v>-986.30136986301386</v>
      </c>
      <c r="O68" s="3">
        <f t="shared" si="58"/>
        <v>0</v>
      </c>
      <c r="P68" s="3">
        <f t="shared" si="58"/>
        <v>0</v>
      </c>
      <c r="Q68" s="3">
        <f t="shared" si="58"/>
        <v>0</v>
      </c>
      <c r="R68" s="3">
        <f t="shared" si="58"/>
        <v>0</v>
      </c>
    </row>
    <row r="69" spans="2:18" s="3" customFormat="1" ht="15.6" outlineLevel="1" x14ac:dyDescent="0.3">
      <c r="B69" s="26" t="s">
        <v>44</v>
      </c>
      <c r="C69" s="51"/>
      <c r="D69" s="52"/>
      <c r="E69" s="28">
        <f>E66+E67-E68</f>
        <v>-12.820800000001327</v>
      </c>
      <c r="F69" s="28">
        <f t="shared" ref="F69:M69" si="59">F66+F67-F68</f>
        <v>-39716.656114868674</v>
      </c>
      <c r="G69" s="28">
        <f t="shared" si="59"/>
        <v>-41732.92097640469</v>
      </c>
      <c r="H69" s="28">
        <f t="shared" si="59"/>
        <v>-44981.81524141971</v>
      </c>
      <c r="I69" s="28">
        <f t="shared" si="59"/>
        <v>-5822.3437698630078</v>
      </c>
      <c r="J69" s="28">
        <f t="shared" si="59"/>
        <v>-18046.585439999995</v>
      </c>
      <c r="K69" s="28">
        <f t="shared" si="59"/>
        <v>-18607.151263999996</v>
      </c>
      <c r="L69" s="28">
        <f t="shared" si="59"/>
        <v>-16831.490758399999</v>
      </c>
      <c r="M69" s="28">
        <f t="shared" si="59"/>
        <v>-17705.294455039999</v>
      </c>
      <c r="N69" s="28">
        <f t="shared" ref="N69:R69" si="60">N66+N67-N68</f>
        <v>5986.3013698630139</v>
      </c>
      <c r="O69" s="28">
        <f t="shared" si="60"/>
        <v>5000</v>
      </c>
      <c r="P69" s="28">
        <f t="shared" si="60"/>
        <v>5000</v>
      </c>
      <c r="Q69" s="28">
        <f t="shared" si="60"/>
        <v>5000</v>
      </c>
      <c r="R69" s="28">
        <f t="shared" si="60"/>
        <v>60000</v>
      </c>
    </row>
    <row r="70" spans="2:18" s="3" customFormat="1" ht="15.6" outlineLevel="1" x14ac:dyDescent="0.3">
      <c r="B70" s="29"/>
      <c r="C70" s="13"/>
      <c r="D70" s="14"/>
      <c r="E70" s="31"/>
      <c r="F70" s="31"/>
      <c r="G70" s="31"/>
      <c r="H70" s="31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2:18" s="3" customFormat="1" ht="15.6" outlineLevel="1" x14ac:dyDescent="0.3">
      <c r="B71" s="7" t="s">
        <v>45</v>
      </c>
      <c r="D71" s="57"/>
      <c r="E71" s="25"/>
      <c r="F71" s="25"/>
      <c r="G71" s="25"/>
      <c r="H71" s="25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s="3" customFormat="1" ht="15.6" outlineLevel="1" x14ac:dyDescent="0.3">
      <c r="B72" s="3" t="s">
        <v>46</v>
      </c>
      <c r="D72" s="57"/>
      <c r="E72" s="25">
        <v>15000</v>
      </c>
      <c r="F72" s="25">
        <v>15000</v>
      </c>
      <c r="G72" s="25">
        <v>15000</v>
      </c>
      <c r="H72" s="25">
        <v>15000</v>
      </c>
      <c r="I72" s="13">
        <f>I22</f>
        <v>15000</v>
      </c>
      <c r="J72" s="13">
        <f t="shared" ref="J72:M72" si="61">J22</f>
        <v>10000</v>
      </c>
      <c r="K72" s="13">
        <f t="shared" si="61"/>
        <v>25000</v>
      </c>
      <c r="L72" s="13">
        <f t="shared" si="61"/>
        <v>10000</v>
      </c>
      <c r="M72" s="13">
        <f t="shared" si="61"/>
        <v>15000</v>
      </c>
      <c r="N72" s="13">
        <f t="shared" ref="N72:R72" si="62">N22</f>
        <v>0</v>
      </c>
      <c r="O72" s="13">
        <f t="shared" si="62"/>
        <v>0</v>
      </c>
      <c r="P72" s="13">
        <f t="shared" si="62"/>
        <v>0</v>
      </c>
      <c r="Q72" s="13">
        <f t="shared" si="62"/>
        <v>0</v>
      </c>
      <c r="R72" s="13">
        <f t="shared" si="62"/>
        <v>0</v>
      </c>
    </row>
    <row r="73" spans="2:18" s="3" customFormat="1" ht="15.6" outlineLevel="1" x14ac:dyDescent="0.3">
      <c r="B73" s="26" t="s">
        <v>47</v>
      </c>
      <c r="C73" s="51"/>
      <c r="D73" s="52"/>
      <c r="E73" s="28">
        <f>SUM(E72)</f>
        <v>15000</v>
      </c>
      <c r="F73" s="28">
        <f t="shared" ref="F73:M73" si="63">SUM(F72)</f>
        <v>15000</v>
      </c>
      <c r="G73" s="28">
        <f t="shared" si="63"/>
        <v>15000</v>
      </c>
      <c r="H73" s="28">
        <f t="shared" si="63"/>
        <v>15000</v>
      </c>
      <c r="I73" s="28">
        <f t="shared" si="63"/>
        <v>15000</v>
      </c>
      <c r="J73" s="28">
        <f t="shared" si="63"/>
        <v>10000</v>
      </c>
      <c r="K73" s="28">
        <f t="shared" si="63"/>
        <v>25000</v>
      </c>
      <c r="L73" s="28">
        <f t="shared" si="63"/>
        <v>10000</v>
      </c>
      <c r="M73" s="28">
        <f t="shared" si="63"/>
        <v>15000</v>
      </c>
      <c r="N73" s="28">
        <f t="shared" ref="N73:R73" si="64">SUM(N72)</f>
        <v>0</v>
      </c>
      <c r="O73" s="28">
        <f t="shared" si="64"/>
        <v>0</v>
      </c>
      <c r="P73" s="28">
        <f t="shared" si="64"/>
        <v>0</v>
      </c>
      <c r="Q73" s="28">
        <f t="shared" si="64"/>
        <v>0</v>
      </c>
      <c r="R73" s="28">
        <f t="shared" si="64"/>
        <v>0</v>
      </c>
    </row>
    <row r="74" spans="2:18" s="3" customFormat="1" ht="15.6" outlineLevel="1" x14ac:dyDescent="0.3">
      <c r="B74" s="29"/>
      <c r="C74" s="13"/>
      <c r="D74" s="14"/>
      <c r="E74" s="31"/>
      <c r="F74" s="31"/>
      <c r="G74" s="31"/>
      <c r="H74" s="31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2:18" s="3" customFormat="1" ht="15.6" outlineLevel="1" x14ac:dyDescent="0.3">
      <c r="B75" s="7" t="s">
        <v>48</v>
      </c>
      <c r="D75" s="57"/>
      <c r="E75" s="25"/>
      <c r="F75" s="25"/>
      <c r="G75" s="25"/>
      <c r="H75" s="25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s="3" customFormat="1" ht="15.6" outlineLevel="1" x14ac:dyDescent="0.3">
      <c r="B76" s="3" t="s">
        <v>49</v>
      </c>
      <c r="D76" s="57"/>
      <c r="E76" s="25">
        <v>0</v>
      </c>
      <c r="F76" s="25">
        <v>-20000</v>
      </c>
      <c r="G76" s="25">
        <v>0</v>
      </c>
      <c r="H76" s="25">
        <v>0</v>
      </c>
      <c r="I76" s="13">
        <f>I23</f>
        <v>0</v>
      </c>
      <c r="J76" s="13">
        <f t="shared" ref="J76:M77" si="65">J23</f>
        <v>0</v>
      </c>
      <c r="K76" s="13">
        <f t="shared" si="65"/>
        <v>-20000</v>
      </c>
      <c r="L76" s="13">
        <f t="shared" si="65"/>
        <v>0</v>
      </c>
      <c r="M76" s="13">
        <f t="shared" si="65"/>
        <v>0</v>
      </c>
      <c r="N76" s="13">
        <f t="shared" ref="N76:R76" si="66">N23</f>
        <v>0</v>
      </c>
      <c r="O76" s="13">
        <f t="shared" si="66"/>
        <v>0</v>
      </c>
      <c r="P76" s="13">
        <f t="shared" si="66"/>
        <v>0</v>
      </c>
      <c r="Q76" s="13">
        <f t="shared" si="66"/>
        <v>0</v>
      </c>
      <c r="R76" s="13">
        <f t="shared" si="66"/>
        <v>0</v>
      </c>
    </row>
    <row r="77" spans="2:18" s="3" customFormat="1" ht="15.6" outlineLevel="1" x14ac:dyDescent="0.3">
      <c r="B77" s="3" t="s">
        <v>50</v>
      </c>
      <c r="D77" s="57"/>
      <c r="E77" s="25">
        <v>170000</v>
      </c>
      <c r="F77" s="25">
        <v>0</v>
      </c>
      <c r="G77" s="25">
        <v>0</v>
      </c>
      <c r="H77" s="25">
        <v>0</v>
      </c>
      <c r="I77" s="13">
        <f>I24</f>
        <v>0</v>
      </c>
      <c r="J77" s="13">
        <f t="shared" si="65"/>
        <v>0</v>
      </c>
      <c r="K77" s="13">
        <f t="shared" si="65"/>
        <v>0</v>
      </c>
      <c r="L77" s="13">
        <f t="shared" si="65"/>
        <v>-150000</v>
      </c>
      <c r="M77" s="13">
        <f t="shared" si="65"/>
        <v>0</v>
      </c>
      <c r="N77" s="13">
        <f t="shared" ref="N77:R77" si="67">N24</f>
        <v>0</v>
      </c>
      <c r="O77" s="13">
        <f t="shared" si="67"/>
        <v>0</v>
      </c>
      <c r="P77" s="13">
        <f t="shared" si="67"/>
        <v>0</v>
      </c>
      <c r="Q77" s="13">
        <f t="shared" si="67"/>
        <v>0</v>
      </c>
      <c r="R77" s="13">
        <f t="shared" si="67"/>
        <v>0</v>
      </c>
    </row>
    <row r="78" spans="2:18" s="3" customFormat="1" ht="15.6" outlineLevel="1" x14ac:dyDescent="0.3">
      <c r="B78" s="26" t="s">
        <v>51</v>
      </c>
      <c r="C78" s="51"/>
      <c r="D78" s="52"/>
      <c r="E78" s="28">
        <f>SUM(E76:E77)</f>
        <v>170000</v>
      </c>
      <c r="F78" s="28">
        <f t="shared" ref="F78:M78" si="68">SUM(F76:F77)</f>
        <v>-20000</v>
      </c>
      <c r="G78" s="28">
        <f t="shared" si="68"/>
        <v>0</v>
      </c>
      <c r="H78" s="28">
        <f t="shared" si="68"/>
        <v>0</v>
      </c>
      <c r="I78" s="28">
        <f t="shared" si="68"/>
        <v>0</v>
      </c>
      <c r="J78" s="28">
        <f t="shared" si="68"/>
        <v>0</v>
      </c>
      <c r="K78" s="28">
        <f t="shared" si="68"/>
        <v>-20000</v>
      </c>
      <c r="L78" s="28">
        <f t="shared" si="68"/>
        <v>-150000</v>
      </c>
      <c r="M78" s="28">
        <f t="shared" si="68"/>
        <v>0</v>
      </c>
      <c r="N78" s="28">
        <f t="shared" ref="N78:R78" si="69">SUM(N76:N77)</f>
        <v>0</v>
      </c>
      <c r="O78" s="28">
        <f t="shared" si="69"/>
        <v>0</v>
      </c>
      <c r="P78" s="28">
        <f t="shared" si="69"/>
        <v>0</v>
      </c>
      <c r="Q78" s="28">
        <f t="shared" si="69"/>
        <v>0</v>
      </c>
      <c r="R78" s="28">
        <f t="shared" si="69"/>
        <v>0</v>
      </c>
    </row>
    <row r="79" spans="2:18" s="3" customFormat="1" ht="15.6" outlineLevel="1" x14ac:dyDescent="0.3">
      <c r="B79" s="29"/>
      <c r="C79" s="13"/>
      <c r="D79" s="14"/>
      <c r="E79" s="31"/>
      <c r="F79" s="31"/>
      <c r="G79" s="31"/>
      <c r="H79" s="31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2:18" s="3" customFormat="1" ht="15.6" outlineLevel="1" x14ac:dyDescent="0.3">
      <c r="B80" s="3" t="s">
        <v>52</v>
      </c>
      <c r="D80" s="57"/>
      <c r="E80" s="53">
        <f>E69-E73+E78</f>
        <v>154987.17920000001</v>
      </c>
      <c r="F80" s="53">
        <f t="shared" ref="F80:M80" si="70">F69-F73+F78</f>
        <v>-74716.656114868674</v>
      </c>
      <c r="G80" s="53">
        <f t="shared" si="70"/>
        <v>-56732.92097640469</v>
      </c>
      <c r="H80" s="53">
        <f t="shared" si="70"/>
        <v>-59981.81524141971</v>
      </c>
      <c r="I80" s="53">
        <f t="shared" si="70"/>
        <v>-20822.343769863008</v>
      </c>
      <c r="J80" s="53">
        <f t="shared" si="70"/>
        <v>-28046.585439999995</v>
      </c>
      <c r="K80" s="53">
        <f t="shared" si="70"/>
        <v>-63607.151264</v>
      </c>
      <c r="L80" s="53">
        <f t="shared" si="70"/>
        <v>-176831.4907584</v>
      </c>
      <c r="M80" s="53">
        <f t="shared" si="70"/>
        <v>-32705.294455039999</v>
      </c>
      <c r="N80" s="53">
        <f t="shared" ref="N80:R80" si="71">N69-N73+N78</f>
        <v>5986.3013698630139</v>
      </c>
      <c r="O80" s="53">
        <f t="shared" si="71"/>
        <v>5000</v>
      </c>
      <c r="P80" s="53">
        <f t="shared" si="71"/>
        <v>5000</v>
      </c>
      <c r="Q80" s="53">
        <f t="shared" si="71"/>
        <v>5000</v>
      </c>
      <c r="R80" s="53">
        <f t="shared" si="71"/>
        <v>60000</v>
      </c>
    </row>
    <row r="81" spans="2:18" s="3" customFormat="1" ht="15.6" outlineLevel="1" x14ac:dyDescent="0.3">
      <c r="B81" s="3" t="s">
        <v>53</v>
      </c>
      <c r="D81" s="57"/>
      <c r="E81" s="13">
        <f>D82</f>
        <v>0</v>
      </c>
      <c r="F81" s="25">
        <v>181209.91269787797</v>
      </c>
      <c r="G81" s="25">
        <v>183715.25658300929</v>
      </c>
      <c r="H81" s="25">
        <v>211069.33560660461</v>
      </c>
      <c r="I81" s="13">
        <f>+H82</f>
        <v>151087.5203651849</v>
      </c>
      <c r="J81" s="13">
        <f t="shared" ref="J81:M81" si="72">+I82</f>
        <v>130265.17659532189</v>
      </c>
      <c r="K81" s="13">
        <f t="shared" si="72"/>
        <v>102218.59115532189</v>
      </c>
      <c r="L81" s="13">
        <f t="shared" si="72"/>
        <v>38611.43989132189</v>
      </c>
      <c r="M81" s="13">
        <f t="shared" si="72"/>
        <v>-138220.05086707813</v>
      </c>
      <c r="N81" s="13">
        <f t="shared" ref="N81" si="73">+M82</f>
        <v>-170925.34532211814</v>
      </c>
      <c r="O81" s="13">
        <f t="shared" ref="O81" si="74">+N82</f>
        <v>-164939.04395225513</v>
      </c>
      <c r="P81" s="13">
        <f t="shared" ref="P81" si="75">+O82</f>
        <v>-159939.04395225513</v>
      </c>
      <c r="Q81" s="13">
        <f t="shared" ref="Q81" si="76">+P82</f>
        <v>-154939.04395225513</v>
      </c>
      <c r="R81" s="13">
        <f t="shared" ref="R81" si="77">+Q82</f>
        <v>-149939.04395225513</v>
      </c>
    </row>
    <row r="82" spans="2:18" s="3" customFormat="1" ht="15.6" x14ac:dyDescent="0.3">
      <c r="B82" s="26" t="s">
        <v>54</v>
      </c>
      <c r="C82" s="51"/>
      <c r="D82" s="52"/>
      <c r="E82" s="28">
        <f>SUM(E80:E81)</f>
        <v>154987.17920000001</v>
      </c>
      <c r="F82" s="28">
        <f t="shared" ref="F82:M82" si="78">SUM(F80:F81)</f>
        <v>106493.25658300929</v>
      </c>
      <c r="G82" s="28">
        <f t="shared" si="78"/>
        <v>126982.33560660461</v>
      </c>
      <c r="H82" s="28">
        <f t="shared" si="78"/>
        <v>151087.5203651849</v>
      </c>
      <c r="I82" s="28">
        <f t="shared" si="78"/>
        <v>130265.17659532189</v>
      </c>
      <c r="J82" s="28">
        <f t="shared" si="78"/>
        <v>102218.59115532189</v>
      </c>
      <c r="K82" s="28">
        <f t="shared" si="78"/>
        <v>38611.43989132189</v>
      </c>
      <c r="L82" s="28">
        <f t="shared" si="78"/>
        <v>-138220.05086707813</v>
      </c>
      <c r="M82" s="28">
        <f t="shared" si="78"/>
        <v>-170925.34532211814</v>
      </c>
      <c r="N82" s="28">
        <f t="shared" ref="N82:R82" si="79">SUM(N80:N81)</f>
        <v>-164939.04395225513</v>
      </c>
      <c r="O82" s="28">
        <f t="shared" si="79"/>
        <v>-159939.04395225513</v>
      </c>
      <c r="P82" s="28">
        <f t="shared" si="79"/>
        <v>-154939.04395225513</v>
      </c>
      <c r="Q82" s="28">
        <f t="shared" si="79"/>
        <v>-149939.04395225513</v>
      </c>
      <c r="R82" s="28">
        <f t="shared" si="79"/>
        <v>-89939.043952255131</v>
      </c>
    </row>
    <row r="83" spans="2:18" s="3" customFormat="1" ht="15.6" x14ac:dyDescent="0.3">
      <c r="B83" s="7"/>
      <c r="D83" s="57"/>
      <c r="E83" s="31"/>
      <c r="F83" s="33"/>
      <c r="G83" s="33"/>
      <c r="H83" s="33"/>
    </row>
    <row r="84" spans="2:18" s="3" customFormat="1" ht="15.6" outlineLevel="1" x14ac:dyDescent="0.3">
      <c r="B84" s="47" t="s">
        <v>39</v>
      </c>
      <c r="C84" s="48"/>
      <c r="D84" s="49"/>
      <c r="E84" s="50">
        <f>E82-E45</f>
        <v>-12984</v>
      </c>
      <c r="F84" s="50">
        <f t="shared" ref="F84:M84" si="80">F82-F45</f>
        <v>-77222</v>
      </c>
      <c r="G84" s="50">
        <f t="shared" si="80"/>
        <v>-84087</v>
      </c>
      <c r="H84" s="50">
        <f t="shared" si="80"/>
        <v>-88462</v>
      </c>
      <c r="I84" s="50">
        <f t="shared" si="80"/>
        <v>0</v>
      </c>
      <c r="J84" s="50">
        <f t="shared" si="80"/>
        <v>0</v>
      </c>
      <c r="K84" s="50">
        <f t="shared" si="80"/>
        <v>0</v>
      </c>
      <c r="L84" s="50">
        <f t="shared" si="80"/>
        <v>0</v>
      </c>
      <c r="M84" s="50">
        <f t="shared" si="80"/>
        <v>0</v>
      </c>
      <c r="N84" s="50">
        <f t="shared" ref="N84:R84" si="81">N82-N45</f>
        <v>0</v>
      </c>
      <c r="O84" s="50">
        <f t="shared" si="81"/>
        <v>0</v>
      </c>
      <c r="P84" s="50">
        <f t="shared" si="81"/>
        <v>0</v>
      </c>
      <c r="Q84" s="50">
        <f t="shared" si="81"/>
        <v>0</v>
      </c>
      <c r="R84" s="50">
        <f t="shared" si="81"/>
        <v>0</v>
      </c>
    </row>
    <row r="85" spans="2:18" s="3" customFormat="1" ht="15.6" outlineLevel="1" x14ac:dyDescent="0.3">
      <c r="B85" s="7"/>
      <c r="D85" s="57"/>
      <c r="E85" s="31"/>
      <c r="F85" s="33"/>
      <c r="G85" s="33"/>
      <c r="H85" s="33"/>
    </row>
    <row r="86" spans="2:18" s="3" customFormat="1" ht="15.6" outlineLevel="1" x14ac:dyDescent="0.3">
      <c r="D86" s="57"/>
      <c r="E86" s="33"/>
      <c r="F86" s="33"/>
      <c r="G86" s="33"/>
      <c r="H86" s="33"/>
    </row>
    <row r="87" spans="2:18" s="3" customFormat="1" ht="18" outlineLevel="1" x14ac:dyDescent="0.3">
      <c r="B87" s="5" t="s">
        <v>55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s="3" customFormat="1" ht="15.6" outlineLevel="1" x14ac:dyDescent="0.3">
      <c r="B88" s="7" t="s">
        <v>56</v>
      </c>
      <c r="D88" s="57"/>
      <c r="F88" s="33"/>
      <c r="G88" s="33"/>
      <c r="H88" s="33"/>
    </row>
    <row r="89" spans="2:18" s="3" customFormat="1" ht="15.6" outlineLevel="1" x14ac:dyDescent="0.3">
      <c r="B89" s="3" t="s">
        <v>27</v>
      </c>
      <c r="D89" s="57"/>
      <c r="E89" s="33">
        <v>5100.3500000000004</v>
      </c>
      <c r="F89" s="33">
        <v>6567.25</v>
      </c>
      <c r="G89" s="33">
        <v>7117.05</v>
      </c>
      <c r="H89" s="33">
        <v>7538.6</v>
      </c>
      <c r="I89" s="3">
        <f>I46</f>
        <v>493.15068493150687</v>
      </c>
      <c r="J89" s="3">
        <f t="shared" ref="J89:M90" si="82">J46</f>
        <v>493.15068493150687</v>
      </c>
      <c r="K89" s="3">
        <f t="shared" si="82"/>
        <v>493.15068493150687</v>
      </c>
      <c r="L89" s="3">
        <f t="shared" si="82"/>
        <v>493.15068493150687</v>
      </c>
      <c r="M89" s="3">
        <f t="shared" si="82"/>
        <v>493.15068493150687</v>
      </c>
      <c r="N89" s="3">
        <f t="shared" ref="N89:R89" si="83">N46</f>
        <v>0</v>
      </c>
      <c r="O89" s="3">
        <f t="shared" si="83"/>
        <v>0</v>
      </c>
      <c r="P89" s="3">
        <f t="shared" si="83"/>
        <v>0</v>
      </c>
      <c r="Q89" s="3">
        <f t="shared" si="83"/>
        <v>0</v>
      </c>
      <c r="R89" s="3">
        <f t="shared" si="83"/>
        <v>0</v>
      </c>
    </row>
    <row r="90" spans="2:18" s="3" customFormat="1" ht="15.6" outlineLevel="1" x14ac:dyDescent="0.3">
      <c r="B90" s="3" t="s">
        <v>28</v>
      </c>
      <c r="D90" s="57"/>
      <c r="E90" s="33">
        <v>7804.6</v>
      </c>
      <c r="F90" s="33">
        <v>9824.6</v>
      </c>
      <c r="G90" s="33">
        <v>10530.800000000001</v>
      </c>
      <c r="H90" s="33">
        <v>11342</v>
      </c>
      <c r="I90" s="3">
        <f>I47</f>
        <v>1000</v>
      </c>
      <c r="J90" s="3">
        <f t="shared" si="82"/>
        <v>1000</v>
      </c>
      <c r="K90" s="3">
        <f t="shared" si="82"/>
        <v>1000</v>
      </c>
      <c r="L90" s="3">
        <f t="shared" si="82"/>
        <v>1000</v>
      </c>
      <c r="M90" s="3">
        <f t="shared" si="82"/>
        <v>1000</v>
      </c>
      <c r="N90" s="3">
        <f t="shared" ref="N90:R90" si="84">N47</f>
        <v>0</v>
      </c>
      <c r="O90" s="3">
        <f t="shared" si="84"/>
        <v>0</v>
      </c>
      <c r="P90" s="3">
        <f t="shared" si="84"/>
        <v>0</v>
      </c>
      <c r="Q90" s="3">
        <f t="shared" si="84"/>
        <v>0</v>
      </c>
      <c r="R90" s="3">
        <f t="shared" si="84"/>
        <v>0</v>
      </c>
    </row>
    <row r="91" spans="2:18" s="3" customFormat="1" ht="15.6" outlineLevel="1" x14ac:dyDescent="0.3">
      <c r="B91" s="3" t="s">
        <v>32</v>
      </c>
      <c r="D91" s="57"/>
      <c r="E91" s="33">
        <v>3902.3</v>
      </c>
      <c r="F91" s="33">
        <v>4912.3</v>
      </c>
      <c r="G91" s="33">
        <v>5265.4000000000005</v>
      </c>
      <c r="H91" s="33">
        <v>5671</v>
      </c>
      <c r="I91" s="3">
        <f>I52</f>
        <v>506.84931506849313</v>
      </c>
      <c r="J91" s="3">
        <f t="shared" ref="J91:M91" si="85">J52</f>
        <v>506.84931506849313</v>
      </c>
      <c r="K91" s="3">
        <f t="shared" si="85"/>
        <v>506.84931506849313</v>
      </c>
      <c r="L91" s="3">
        <f t="shared" si="85"/>
        <v>506.84931506849313</v>
      </c>
      <c r="M91" s="3">
        <f t="shared" si="85"/>
        <v>506.84931506849313</v>
      </c>
      <c r="N91" s="3">
        <f t="shared" ref="N91:R91" si="86">N52</f>
        <v>0</v>
      </c>
      <c r="O91" s="3">
        <f t="shared" si="86"/>
        <v>0</v>
      </c>
      <c r="P91" s="3">
        <f t="shared" si="86"/>
        <v>0</v>
      </c>
      <c r="Q91" s="3">
        <f t="shared" si="86"/>
        <v>0</v>
      </c>
      <c r="R91" s="3">
        <f t="shared" si="86"/>
        <v>0</v>
      </c>
    </row>
    <row r="92" spans="2:18" s="3" customFormat="1" ht="15.6" outlineLevel="1" x14ac:dyDescent="0.3">
      <c r="B92" s="51" t="s">
        <v>57</v>
      </c>
      <c r="C92" s="51"/>
      <c r="D92" s="52"/>
      <c r="E92" s="54">
        <f>E89+E90-E91</f>
        <v>9002.6500000000015</v>
      </c>
      <c r="F92" s="54">
        <f t="shared" ref="F92:M92" si="87">F89+F90-F91</f>
        <v>11479.55</v>
      </c>
      <c r="G92" s="54">
        <f t="shared" si="87"/>
        <v>12382.45</v>
      </c>
      <c r="H92" s="54">
        <f t="shared" si="87"/>
        <v>13209.599999999999</v>
      </c>
      <c r="I92" s="54">
        <f t="shared" si="87"/>
        <v>986.30136986301386</v>
      </c>
      <c r="J92" s="54">
        <f t="shared" si="87"/>
        <v>986.30136986301386</v>
      </c>
      <c r="K92" s="54">
        <f t="shared" si="87"/>
        <v>986.30136986301386</v>
      </c>
      <c r="L92" s="54">
        <f t="shared" si="87"/>
        <v>986.30136986301386</v>
      </c>
      <c r="M92" s="54">
        <f t="shared" si="87"/>
        <v>986.30136986301386</v>
      </c>
      <c r="N92" s="54">
        <f t="shared" ref="N92:R92" si="88">N89+N90-N91</f>
        <v>0</v>
      </c>
      <c r="O92" s="54">
        <f t="shared" si="88"/>
        <v>0</v>
      </c>
      <c r="P92" s="54">
        <f t="shared" si="88"/>
        <v>0</v>
      </c>
      <c r="Q92" s="54">
        <f t="shared" si="88"/>
        <v>0</v>
      </c>
      <c r="R92" s="54">
        <f t="shared" si="88"/>
        <v>0</v>
      </c>
    </row>
    <row r="93" spans="2:18" s="3" customFormat="1" ht="15.6" outlineLevel="1" x14ac:dyDescent="0.3">
      <c r="B93" s="3" t="s">
        <v>58</v>
      </c>
      <c r="D93" s="57"/>
      <c r="E93" s="55">
        <f>E92-D92</f>
        <v>9002.6500000000015</v>
      </c>
      <c r="F93" s="55" t="e">
        <f>F92-#REF!</f>
        <v>#REF!</v>
      </c>
      <c r="G93" s="55">
        <f t="shared" ref="G93:M93" si="89">G92-F92</f>
        <v>902.90000000000146</v>
      </c>
      <c r="H93" s="55">
        <f t="shared" si="89"/>
        <v>827.14999999999782</v>
      </c>
      <c r="I93" s="55">
        <f t="shared" si="89"/>
        <v>-12223.298630136986</v>
      </c>
      <c r="J93" s="55">
        <f t="shared" si="89"/>
        <v>0</v>
      </c>
      <c r="K93" s="55">
        <f t="shared" si="89"/>
        <v>0</v>
      </c>
      <c r="L93" s="55">
        <f t="shared" si="89"/>
        <v>0</v>
      </c>
      <c r="M93" s="55">
        <f t="shared" si="89"/>
        <v>0</v>
      </c>
      <c r="N93" s="55">
        <f t="shared" ref="N93" si="90">N92-M92</f>
        <v>-986.30136986301386</v>
      </c>
      <c r="O93" s="55">
        <f t="shared" ref="O93" si="91">O92-N92</f>
        <v>0</v>
      </c>
      <c r="P93" s="55">
        <f t="shared" ref="P93" si="92">P92-O92</f>
        <v>0</v>
      </c>
      <c r="Q93" s="55">
        <f t="shared" ref="Q93" si="93">Q92-P92</f>
        <v>0</v>
      </c>
      <c r="R93" s="55">
        <f t="shared" ref="R93" si="94">R92-Q92</f>
        <v>0</v>
      </c>
    </row>
    <row r="94" spans="2:18" s="3" customFormat="1" ht="15.6" outlineLevel="1" x14ac:dyDescent="0.3">
      <c r="D94" s="57"/>
      <c r="E94" s="33"/>
      <c r="F94" s="33"/>
      <c r="G94" s="33"/>
      <c r="H94" s="33"/>
    </row>
    <row r="95" spans="2:18" s="3" customFormat="1" ht="15.6" outlineLevel="1" x14ac:dyDescent="0.3">
      <c r="B95" s="7" t="s">
        <v>59</v>
      </c>
      <c r="D95" s="57"/>
      <c r="E95" s="33"/>
      <c r="F95" s="33"/>
      <c r="G95" s="33"/>
      <c r="H95" s="33"/>
    </row>
    <row r="96" spans="2:18" s="3" customFormat="1" ht="15.6" outlineLevel="1" x14ac:dyDescent="0.3">
      <c r="B96" s="3" t="s">
        <v>60</v>
      </c>
      <c r="D96" s="57"/>
      <c r="E96" s="33">
        <v>50000</v>
      </c>
      <c r="F96" s="33">
        <v>42350</v>
      </c>
      <c r="G96" s="33">
        <v>40145</v>
      </c>
      <c r="H96" s="33">
        <v>38601.5</v>
      </c>
      <c r="I96" s="3">
        <f>H99</f>
        <v>37521.050000000003</v>
      </c>
      <c r="J96" s="3">
        <f t="shared" ref="J96:M96" si="95">I99</f>
        <v>37512.630000000005</v>
      </c>
      <c r="K96" s="3">
        <f t="shared" si="95"/>
        <v>32507.578000000001</v>
      </c>
      <c r="L96" s="3">
        <f t="shared" si="95"/>
        <v>44504.546799999996</v>
      </c>
      <c r="M96" s="3">
        <f t="shared" si="95"/>
        <v>36702.728080000001</v>
      </c>
      <c r="N96" s="3">
        <f t="shared" ref="N96" si="96">M99</f>
        <v>37021.636848000002</v>
      </c>
      <c r="O96" s="3">
        <f t="shared" ref="O96" si="97">N99</f>
        <v>37021.636848000002</v>
      </c>
      <c r="P96" s="3">
        <f t="shared" ref="P96" si="98">O99</f>
        <v>37021.636848000002</v>
      </c>
      <c r="Q96" s="3">
        <f t="shared" ref="Q96" si="99">P99</f>
        <v>37021.636848000002</v>
      </c>
      <c r="R96" s="3">
        <f t="shared" ref="R96" si="100">Q99</f>
        <v>37021.636848000002</v>
      </c>
    </row>
    <row r="97" spans="1:18" s="3" customFormat="1" ht="15.6" outlineLevel="1" x14ac:dyDescent="0.3">
      <c r="B97" s="3" t="s">
        <v>61</v>
      </c>
      <c r="D97" s="57"/>
      <c r="E97" s="33">
        <v>15000</v>
      </c>
      <c r="F97" s="33">
        <v>15000</v>
      </c>
      <c r="G97" s="33">
        <v>15000</v>
      </c>
      <c r="H97" s="33">
        <v>15000</v>
      </c>
      <c r="I97" s="3">
        <f>+I22</f>
        <v>15000</v>
      </c>
      <c r="J97" s="3">
        <f t="shared" ref="J97:M97" si="101">+J22</f>
        <v>10000</v>
      </c>
      <c r="K97" s="3">
        <f t="shared" si="101"/>
        <v>25000</v>
      </c>
      <c r="L97" s="3">
        <f t="shared" si="101"/>
        <v>10000</v>
      </c>
      <c r="M97" s="3">
        <f t="shared" si="101"/>
        <v>15000</v>
      </c>
      <c r="N97" s="3">
        <f t="shared" ref="N97:R97" si="102">+N22</f>
        <v>0</v>
      </c>
      <c r="O97" s="3">
        <f t="shared" si="102"/>
        <v>0</v>
      </c>
      <c r="P97" s="3">
        <f t="shared" si="102"/>
        <v>0</v>
      </c>
      <c r="Q97" s="3">
        <f t="shared" si="102"/>
        <v>0</v>
      </c>
      <c r="R97" s="3">
        <f t="shared" si="102"/>
        <v>0</v>
      </c>
    </row>
    <row r="98" spans="1:18" s="3" customFormat="1" ht="15.6" outlineLevel="1" x14ac:dyDescent="0.3">
      <c r="B98" s="3" t="s">
        <v>62</v>
      </c>
      <c r="D98"/>
      <c r="E98" s="33">
        <v>19500</v>
      </c>
      <c r="F98" s="33">
        <v>17205</v>
      </c>
      <c r="G98" s="33">
        <v>16543.5</v>
      </c>
      <c r="H98" s="33">
        <v>16080.449999999999</v>
      </c>
      <c r="I98" s="56">
        <f>I96*I15</f>
        <v>15008.420000000002</v>
      </c>
      <c r="J98" s="56">
        <f t="shared" ref="J98:M98" si="103">J96*J15</f>
        <v>15005.052000000003</v>
      </c>
      <c r="K98" s="56">
        <f t="shared" si="103"/>
        <v>13003.031200000001</v>
      </c>
      <c r="L98" s="56">
        <f t="shared" si="103"/>
        <v>17801.818719999999</v>
      </c>
      <c r="M98" s="56">
        <f t="shared" si="103"/>
        <v>14681.091232000001</v>
      </c>
      <c r="N98" s="56">
        <f t="shared" ref="N98:R98" si="104">N96*N15</f>
        <v>0</v>
      </c>
      <c r="O98" s="56">
        <f t="shared" si="104"/>
        <v>0</v>
      </c>
      <c r="P98" s="56">
        <f t="shared" si="104"/>
        <v>0</v>
      </c>
      <c r="Q98" s="56">
        <f t="shared" si="104"/>
        <v>0</v>
      </c>
      <c r="R98" s="56">
        <f t="shared" si="104"/>
        <v>0</v>
      </c>
    </row>
    <row r="99" spans="1:18" s="3" customFormat="1" ht="15.6" outlineLevel="1" x14ac:dyDescent="0.3">
      <c r="B99" s="51" t="s">
        <v>63</v>
      </c>
      <c r="C99" s="51"/>
      <c r="D99" s="52"/>
      <c r="E99" s="54">
        <f>E96+E97-E98</f>
        <v>45500</v>
      </c>
      <c r="F99" s="54">
        <f t="shared" ref="F99:M99" si="105">F96+F97-F98</f>
        <v>40145</v>
      </c>
      <c r="G99" s="54">
        <f t="shared" si="105"/>
        <v>38601.5</v>
      </c>
      <c r="H99" s="54">
        <f t="shared" si="105"/>
        <v>37521.050000000003</v>
      </c>
      <c r="I99" s="54">
        <f t="shared" si="105"/>
        <v>37512.630000000005</v>
      </c>
      <c r="J99" s="54">
        <f t="shared" si="105"/>
        <v>32507.578000000001</v>
      </c>
      <c r="K99" s="54">
        <f t="shared" si="105"/>
        <v>44504.546799999996</v>
      </c>
      <c r="L99" s="54">
        <f t="shared" si="105"/>
        <v>36702.728080000001</v>
      </c>
      <c r="M99" s="54">
        <f t="shared" si="105"/>
        <v>37021.636848000002</v>
      </c>
      <c r="N99" s="54">
        <f t="shared" ref="N99:R99" si="106">N96+N97-N98</f>
        <v>37021.636848000002</v>
      </c>
      <c r="O99" s="54">
        <f t="shared" si="106"/>
        <v>37021.636848000002</v>
      </c>
      <c r="P99" s="54">
        <f t="shared" si="106"/>
        <v>37021.636848000002</v>
      </c>
      <c r="Q99" s="54">
        <f t="shared" si="106"/>
        <v>37021.636848000002</v>
      </c>
      <c r="R99" s="54">
        <f t="shared" si="106"/>
        <v>37021.636848000002</v>
      </c>
    </row>
    <row r="100" spans="1:18" s="3" customFormat="1" ht="15.6" outlineLevel="1" x14ac:dyDescent="0.3">
      <c r="D100" s="57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18" s="3" customFormat="1" ht="15.6" outlineLevel="1" x14ac:dyDescent="0.3">
      <c r="B101" s="7" t="s">
        <v>64</v>
      </c>
      <c r="D101" s="57"/>
      <c r="E101" s="33"/>
      <c r="F101" s="33"/>
      <c r="G101" s="33"/>
      <c r="H101" s="33"/>
    </row>
    <row r="102" spans="1:18" s="3" customFormat="1" ht="15.6" outlineLevel="1" x14ac:dyDescent="0.3">
      <c r="B102" s="3" t="s">
        <v>65</v>
      </c>
      <c r="D102" s="57"/>
      <c r="E102" s="33">
        <v>50000</v>
      </c>
      <c r="F102" s="33">
        <v>50000</v>
      </c>
      <c r="G102" s="33">
        <v>30000</v>
      </c>
      <c r="H102" s="33">
        <v>30000</v>
      </c>
      <c r="I102" s="3">
        <f>H104</f>
        <v>30000</v>
      </c>
      <c r="J102" s="3">
        <f t="shared" ref="J102:M102" si="107">I104</f>
        <v>30000</v>
      </c>
      <c r="K102" s="3">
        <f t="shared" si="107"/>
        <v>30000</v>
      </c>
      <c r="L102" s="3">
        <f t="shared" si="107"/>
        <v>10000</v>
      </c>
      <c r="M102" s="3">
        <f t="shared" si="107"/>
        <v>10000</v>
      </c>
      <c r="N102" s="3">
        <f t="shared" ref="N102" si="108">M104</f>
        <v>10000</v>
      </c>
      <c r="O102" s="3">
        <f t="shared" ref="O102" si="109">N104</f>
        <v>10000</v>
      </c>
      <c r="P102" s="3">
        <f t="shared" ref="P102" si="110">O104</f>
        <v>10000</v>
      </c>
      <c r="Q102" s="3">
        <f t="shared" ref="Q102" si="111">P104</f>
        <v>10000</v>
      </c>
      <c r="R102" s="3">
        <f t="shared" ref="R102" si="112">Q104</f>
        <v>10000</v>
      </c>
    </row>
    <row r="103" spans="1:18" ht="15.6" x14ac:dyDescent="0.3">
      <c r="A103" s="3"/>
      <c r="B103" s="3" t="s">
        <v>66</v>
      </c>
      <c r="C103" s="3"/>
      <c r="D103" s="57"/>
      <c r="E103" s="33">
        <v>0</v>
      </c>
      <c r="F103" s="33">
        <v>-20000</v>
      </c>
      <c r="G103" s="33">
        <v>0</v>
      </c>
      <c r="H103" s="33">
        <v>0</v>
      </c>
      <c r="I103" s="22">
        <f>+I23</f>
        <v>0</v>
      </c>
      <c r="J103" s="22">
        <f t="shared" ref="J103:M103" si="113">+J23</f>
        <v>0</v>
      </c>
      <c r="K103" s="22">
        <f t="shared" si="113"/>
        <v>-20000</v>
      </c>
      <c r="L103" s="22">
        <f t="shared" si="113"/>
        <v>0</v>
      </c>
      <c r="M103" s="22">
        <f t="shared" si="113"/>
        <v>0</v>
      </c>
      <c r="N103" s="22">
        <f t="shared" ref="N103:R103" si="114">+N23</f>
        <v>0</v>
      </c>
      <c r="O103" s="22">
        <f t="shared" si="114"/>
        <v>0</v>
      </c>
      <c r="P103" s="22">
        <f t="shared" si="114"/>
        <v>0</v>
      </c>
      <c r="Q103" s="22">
        <f t="shared" si="114"/>
        <v>0</v>
      </c>
      <c r="R103" s="22">
        <f t="shared" si="114"/>
        <v>0</v>
      </c>
    </row>
    <row r="104" spans="1:18" ht="15.6" x14ac:dyDescent="0.3">
      <c r="A104" s="3"/>
      <c r="B104" s="51" t="s">
        <v>67</v>
      </c>
      <c r="C104" s="51"/>
      <c r="D104" s="52"/>
      <c r="E104" s="54">
        <f>SUM(E102:E103)</f>
        <v>50000</v>
      </c>
      <c r="F104" s="54">
        <f t="shared" ref="F104:M104" si="115">SUM(F102:F103)</f>
        <v>30000</v>
      </c>
      <c r="G104" s="54">
        <f t="shared" si="115"/>
        <v>30000</v>
      </c>
      <c r="H104" s="54">
        <f t="shared" si="115"/>
        <v>30000</v>
      </c>
      <c r="I104" s="54">
        <f t="shared" si="115"/>
        <v>30000</v>
      </c>
      <c r="J104" s="54">
        <f t="shared" si="115"/>
        <v>30000</v>
      </c>
      <c r="K104" s="54">
        <f t="shared" si="115"/>
        <v>10000</v>
      </c>
      <c r="L104" s="54">
        <f t="shared" si="115"/>
        <v>10000</v>
      </c>
      <c r="M104" s="54">
        <f t="shared" si="115"/>
        <v>10000</v>
      </c>
      <c r="N104" s="54">
        <f t="shared" ref="N104:R104" si="116">SUM(N102:N103)</f>
        <v>10000</v>
      </c>
      <c r="O104" s="54">
        <f t="shared" si="116"/>
        <v>10000</v>
      </c>
      <c r="P104" s="54">
        <f t="shared" si="116"/>
        <v>10000</v>
      </c>
      <c r="Q104" s="54">
        <f t="shared" si="116"/>
        <v>10000</v>
      </c>
      <c r="R104" s="54">
        <f t="shared" si="116"/>
        <v>10000</v>
      </c>
    </row>
    <row r="105" spans="1:18" ht="15.6" x14ac:dyDescent="0.3">
      <c r="A105" s="3"/>
      <c r="B105" s="3" t="s">
        <v>68</v>
      </c>
      <c r="C105" s="3"/>
      <c r="E105" s="33">
        <v>2500</v>
      </c>
      <c r="F105" s="33">
        <v>1500</v>
      </c>
      <c r="G105" s="33">
        <v>900</v>
      </c>
      <c r="H105" s="33">
        <v>900</v>
      </c>
      <c r="I105" s="3">
        <f>I102*I16</f>
        <v>900</v>
      </c>
      <c r="J105" s="3">
        <f t="shared" ref="J105:M105" si="117">J102*J16</f>
        <v>900</v>
      </c>
      <c r="K105" s="3">
        <f t="shared" si="117"/>
        <v>900</v>
      </c>
      <c r="L105" s="3">
        <f t="shared" si="117"/>
        <v>300</v>
      </c>
      <c r="M105" s="3">
        <f t="shared" si="117"/>
        <v>300</v>
      </c>
      <c r="N105" s="3">
        <f t="shared" ref="N105:R105" si="118">N102*N16</f>
        <v>0</v>
      </c>
      <c r="O105" s="3">
        <f t="shared" si="118"/>
        <v>0</v>
      </c>
      <c r="P105" s="3">
        <f t="shared" si="118"/>
        <v>0</v>
      </c>
      <c r="Q105" s="3">
        <f t="shared" si="118"/>
        <v>0</v>
      </c>
      <c r="R105" s="3">
        <f t="shared" si="118"/>
        <v>0</v>
      </c>
    </row>
  </sheetData>
  <mergeCells count="3">
    <mergeCell ref="F4:R4"/>
    <mergeCell ref="F5:H5"/>
    <mergeCell ref="I5:R5"/>
  </mergeCells>
  <conditionalFormatting sqref="E7:R7">
    <cfRule type="containsText" dxfId="52" priority="1" operator="containsText" text="OK">
      <formula>NOT(ISERROR(SEARCH("OK",E7)))</formula>
    </cfRule>
    <cfRule type="containsText" dxfId="51" priority="2" operator="containsText" text="ERROR">
      <formula>NOT(ISERROR(SEARCH("ERROR",E7)))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F032-2A27-483F-8FB1-6ABA3D9B07C3}">
  <dimension ref="A1:Z46"/>
  <sheetViews>
    <sheetView showGridLines="0" zoomScale="130" zoomScaleNormal="130" workbookViewId="0">
      <selection activeCell="C24" sqref="C24"/>
    </sheetView>
  </sheetViews>
  <sheetFormatPr defaultColWidth="0" defaultRowHeight="14.4" zeroHeight="1" x14ac:dyDescent="0.3"/>
  <cols>
    <col min="1" max="2" width="3.109375" customWidth="1"/>
    <col min="3" max="26" width="8.77734375" customWidth="1"/>
    <col min="27" max="16384" width="8.77734375" hidden="1"/>
  </cols>
  <sheetData>
    <row r="1" spans="3:18" x14ac:dyDescent="0.3"/>
    <row r="2" spans="3:18" x14ac:dyDescent="0.3"/>
    <row r="3" spans="3:18" x14ac:dyDescent="0.3"/>
    <row r="4" spans="3:18" x14ac:dyDescent="0.3"/>
    <row r="5" spans="3:18" x14ac:dyDescent="0.3"/>
    <row r="6" spans="3:18" x14ac:dyDescent="0.3"/>
    <row r="7" spans="3:18" x14ac:dyDescent="0.3"/>
    <row r="8" spans="3:18" ht="15.6" x14ac:dyDescent="0.3">
      <c r="C8" s="294" t="s">
        <v>159</v>
      </c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</row>
    <row r="9" spans="3:18" ht="15.6" x14ac:dyDescent="0.3"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</row>
    <row r="10" spans="3:18" ht="15.6" x14ac:dyDescent="0.3">
      <c r="C10" s="311" t="s">
        <v>215</v>
      </c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</row>
    <row r="11" spans="3:18" ht="15.6" x14ac:dyDescent="0.3"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</row>
    <row r="12" spans="3:18" ht="15.6" x14ac:dyDescent="0.3">
      <c r="C12" s="294" t="s">
        <v>160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</row>
    <row r="13" spans="3:18" ht="15.6" x14ac:dyDescent="0.3">
      <c r="C13" s="310" t="s">
        <v>209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</row>
    <row r="14" spans="3:18" ht="15.6" x14ac:dyDescent="0.3"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</row>
    <row r="15" spans="3:18" ht="15.6" x14ac:dyDescent="0.3">
      <c r="C15" s="294" t="s">
        <v>190</v>
      </c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</row>
    <row r="16" spans="3:18" ht="15.6" x14ac:dyDescent="0.3">
      <c r="C16" s="310" t="s">
        <v>211</v>
      </c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</row>
    <row r="17" spans="3:18" ht="15.6" x14ac:dyDescent="0.3"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</row>
    <row r="18" spans="3:18" ht="15.6" x14ac:dyDescent="0.3">
      <c r="C18" s="312" t="s">
        <v>216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</row>
    <row r="19" spans="3:18" ht="15.6" x14ac:dyDescent="0.3"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</row>
    <row r="20" spans="3:18" ht="15.6" x14ac:dyDescent="0.3">
      <c r="C20" s="294" t="s">
        <v>191</v>
      </c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</row>
    <row r="21" spans="3:18" ht="15.6" x14ac:dyDescent="0.3">
      <c r="C21" s="310" t="s">
        <v>210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</row>
    <row r="22" spans="3:18" ht="15.6" x14ac:dyDescent="0.3"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</row>
    <row r="23" spans="3:18" ht="15.6" x14ac:dyDescent="0.3">
      <c r="C23" s="294" t="s">
        <v>224</v>
      </c>
    </row>
    <row r="24" spans="3:18" ht="15.6" x14ac:dyDescent="0.3">
      <c r="C24" s="310" t="s">
        <v>212</v>
      </c>
    </row>
    <row r="25" spans="3:18" x14ac:dyDescent="0.3"/>
    <row r="26" spans="3:18" ht="15.6" x14ac:dyDescent="0.3">
      <c r="C26" s="294" t="s">
        <v>213</v>
      </c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</row>
    <row r="27" spans="3:18" ht="15.6" x14ac:dyDescent="0.3">
      <c r="C27" s="310" t="s">
        <v>214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</row>
    <row r="28" spans="3:18" ht="15.6" x14ac:dyDescent="0.3"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</row>
    <row r="29" spans="3:18" ht="15.6" x14ac:dyDescent="0.3"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</row>
    <row r="30" spans="3:18" ht="15.6" x14ac:dyDescent="0.3">
      <c r="C30" s="312" t="s">
        <v>222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</row>
    <row r="31" spans="3:18" ht="15.6" x14ac:dyDescent="0.3">
      <c r="C31" s="312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</row>
    <row r="32" spans="3:18" ht="15.6" x14ac:dyDescent="0.3">
      <c r="C32" s="345" t="s">
        <v>223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</row>
    <row r="33" spans="3:18" ht="15.6" x14ac:dyDescent="0.3"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</row>
    <row r="34" spans="3:18" ht="15.6" hidden="1" x14ac:dyDescent="0.3"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</row>
    <row r="35" spans="3:18" ht="15.6" hidden="1" x14ac:dyDescent="0.3"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</row>
    <row r="36" spans="3:18" ht="15.6" hidden="1" x14ac:dyDescent="0.3"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</row>
    <row r="37" spans="3:18" ht="15.6" hidden="1" x14ac:dyDescent="0.3"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</row>
    <row r="38" spans="3:18" ht="15.6" hidden="1" x14ac:dyDescent="0.3"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</row>
    <row r="39" spans="3:18" ht="15.6" hidden="1" x14ac:dyDescent="0.3"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</row>
    <row r="40" spans="3:18" ht="15.6" hidden="1" x14ac:dyDescent="0.3"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</row>
    <row r="41" spans="3:18" ht="15.6" hidden="1" x14ac:dyDescent="0.3"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</row>
    <row r="42" spans="3:18" ht="15.6" hidden="1" x14ac:dyDescent="0.3"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</row>
    <row r="43" spans="3:18" ht="15.6" hidden="1" x14ac:dyDescent="0.3"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</row>
    <row r="44" spans="3:18" ht="15.6" hidden="1" x14ac:dyDescent="0.3"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</row>
    <row r="45" spans="3:18" ht="15.6" hidden="1" x14ac:dyDescent="0.3"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</row>
    <row r="46" spans="3:18" ht="15.6" hidden="1" x14ac:dyDescent="0.3"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</row>
  </sheetData>
  <sheetProtection algorithmName="SHA-512" hashValue="4u05uwKgerdFE6YRYWx1l11gN160RUwkkYbC2zA9cywQAfUKVJDs2UHi5SK7m9Lf0Ln3F+dslMmM1HsgjjY85w==" saltValue="SDEJEa3hRjN+jsPfmCG6Rg==" spinCount="10000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45D4-7DDE-4EB7-8F2B-E77B9A4EFD51}">
  <sheetPr>
    <tabColor rgb="FFDA5D00"/>
  </sheetPr>
  <dimension ref="A1:T114"/>
  <sheetViews>
    <sheetView showGridLines="0" tabSelected="1" zoomScaleNormal="100" workbookViewId="0">
      <pane ySplit="9" topLeftCell="A36" activePane="bottomLeft" state="frozen"/>
      <selection activeCell="I34" sqref="I34"/>
      <selection pane="bottomLeft" activeCell="J41" sqref="J41"/>
    </sheetView>
  </sheetViews>
  <sheetFormatPr defaultColWidth="0" defaultRowHeight="13.8" zeroHeight="1" x14ac:dyDescent="0.25"/>
  <cols>
    <col min="1" max="1" width="8.77734375" style="67" customWidth="1"/>
    <col min="2" max="2" width="44.44140625" style="67" customWidth="1"/>
    <col min="3" max="4" width="13.33203125" style="67" customWidth="1"/>
    <col min="5" max="18" width="15.88671875" style="67" customWidth="1"/>
    <col min="19" max="19" width="8.77734375" style="67" customWidth="1"/>
    <col min="20" max="20" width="0" style="67" hidden="1" customWidth="1"/>
    <col min="21" max="16384" width="8.77734375" style="67" hidden="1"/>
  </cols>
  <sheetData>
    <row r="1" spans="1:20" s="66" customFormat="1" ht="30" customHeight="1" x14ac:dyDescent="0.25"/>
    <row r="2" spans="1:20" s="66" customFormat="1" ht="30" customHeight="1" x14ac:dyDescent="0.25"/>
    <row r="3" spans="1:20" s="66" customFormat="1" ht="30" customHeight="1" x14ac:dyDescent="0.25"/>
    <row r="4" spans="1:20" s="66" customFormat="1" ht="30" customHeight="1" x14ac:dyDescent="0.25"/>
    <row r="5" spans="1:20" s="66" customFormat="1" ht="30" customHeight="1" x14ac:dyDescent="0.25"/>
    <row r="6" spans="1:20" s="66" customFormat="1" ht="30" customHeight="1" x14ac:dyDescent="0.25">
      <c r="A6" s="67"/>
      <c r="B6" s="67"/>
      <c r="C6" s="67"/>
      <c r="D6" s="67"/>
      <c r="N6" s="67"/>
      <c r="O6" s="67"/>
      <c r="P6" s="67"/>
      <c r="Q6" s="67"/>
      <c r="R6" s="67"/>
      <c r="S6" s="67"/>
      <c r="T6" s="67"/>
    </row>
    <row r="7" spans="1:20" s="66" customFormat="1" ht="17.399999999999999" x14ac:dyDescent="0.3">
      <c r="A7" s="67"/>
      <c r="B7" s="67"/>
      <c r="C7" s="67"/>
      <c r="D7" s="67"/>
      <c r="E7" s="167">
        <v>2019</v>
      </c>
      <c r="F7" s="385">
        <v>2020</v>
      </c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7"/>
      <c r="S7" s="67"/>
      <c r="T7" s="67"/>
    </row>
    <row r="8" spans="1:20" s="66" customFormat="1" ht="15" x14ac:dyDescent="0.25">
      <c r="E8" s="173" t="s">
        <v>69</v>
      </c>
      <c r="F8" s="388" t="s">
        <v>69</v>
      </c>
      <c r="G8" s="389"/>
      <c r="H8" s="390"/>
      <c r="I8" s="389" t="s">
        <v>71</v>
      </c>
      <c r="J8" s="389"/>
      <c r="K8" s="389"/>
      <c r="L8" s="389"/>
      <c r="M8" s="389"/>
      <c r="N8" s="389"/>
      <c r="O8" s="389"/>
      <c r="P8" s="389"/>
      <c r="Q8" s="389"/>
      <c r="R8" s="390"/>
      <c r="S8" s="67"/>
      <c r="T8" s="67"/>
    </row>
    <row r="9" spans="1:20" s="68" customFormat="1" ht="17.399999999999999" x14ac:dyDescent="0.3">
      <c r="E9" s="170" t="s">
        <v>70</v>
      </c>
      <c r="F9" s="170" t="s">
        <v>72</v>
      </c>
      <c r="G9" s="171" t="s">
        <v>73</v>
      </c>
      <c r="H9" s="172" t="s">
        <v>74</v>
      </c>
      <c r="I9" s="170" t="s">
        <v>75</v>
      </c>
      <c r="J9" s="171" t="s">
        <v>76</v>
      </c>
      <c r="K9" s="171" t="s">
        <v>77</v>
      </c>
      <c r="L9" s="171" t="s">
        <v>78</v>
      </c>
      <c r="M9" s="171" t="s">
        <v>79</v>
      </c>
      <c r="N9" s="171" t="s">
        <v>80</v>
      </c>
      <c r="O9" s="171" t="s">
        <v>81</v>
      </c>
      <c r="P9" s="171" t="s">
        <v>82</v>
      </c>
      <c r="Q9" s="172" t="s">
        <v>83</v>
      </c>
      <c r="R9" s="169" t="s">
        <v>70</v>
      </c>
      <c r="S9" s="67"/>
      <c r="T9" s="67"/>
    </row>
    <row r="10" spans="1:20" s="66" customFormat="1" ht="15" x14ac:dyDescent="0.25">
      <c r="B10" s="66" t="s">
        <v>0</v>
      </c>
      <c r="D10" s="70"/>
      <c r="E10" s="138" t="str">
        <f t="shared" ref="E10:H10" si="0">IFERROR(IF(ABS(E50)&gt;1,"ERROR","OK"),"OK")</f>
        <v>OK</v>
      </c>
      <c r="F10" s="138" t="str">
        <f t="shared" si="0"/>
        <v>OK</v>
      </c>
      <c r="G10" s="71" t="str">
        <f t="shared" si="0"/>
        <v>OK</v>
      </c>
      <c r="H10" s="139" t="str">
        <f t="shared" si="0"/>
        <v>OK</v>
      </c>
      <c r="I10" s="138" t="str">
        <f>IFERROR(IF(ABS(I50)&gt;1,"ERROR","OK"),"OK")</f>
        <v>OK</v>
      </c>
      <c r="J10" s="71" t="str">
        <f t="shared" ref="J10:Q10" si="1">IFERROR(IF(ABS(J50)&gt;1,"ERROR","OK"),"OK")</f>
        <v>OK</v>
      </c>
      <c r="K10" s="71" t="str">
        <f t="shared" si="1"/>
        <v>OK</v>
      </c>
      <c r="L10" s="71" t="str">
        <f t="shared" si="1"/>
        <v>OK</v>
      </c>
      <c r="M10" s="71" t="str">
        <f t="shared" si="1"/>
        <v>OK</v>
      </c>
      <c r="N10" s="71" t="str">
        <f t="shared" si="1"/>
        <v>OK</v>
      </c>
      <c r="O10" s="71" t="str">
        <f t="shared" si="1"/>
        <v>OK</v>
      </c>
      <c r="P10" s="71" t="str">
        <f t="shared" si="1"/>
        <v>OK</v>
      </c>
      <c r="Q10" s="139" t="str">
        <f t="shared" si="1"/>
        <v>OK</v>
      </c>
      <c r="R10" s="257"/>
      <c r="S10" s="67"/>
      <c r="T10" s="67"/>
    </row>
    <row r="11" spans="1:20" s="66" customFormat="1" ht="15" x14ac:dyDescent="0.25">
      <c r="D11" s="70"/>
      <c r="E11" s="140"/>
      <c r="F11" s="140"/>
      <c r="G11" s="76"/>
      <c r="H11" s="141"/>
      <c r="I11" s="252"/>
      <c r="J11" s="250"/>
      <c r="K11" s="250"/>
      <c r="L11" s="250"/>
      <c r="M11" s="250"/>
      <c r="N11" s="106"/>
      <c r="O11" s="106"/>
      <c r="P11" s="106"/>
      <c r="Q11" s="233"/>
      <c r="R11" s="257"/>
      <c r="S11" s="67"/>
      <c r="T11" s="67"/>
    </row>
    <row r="12" spans="1:20" s="66" customFormat="1" ht="21" thickBot="1" x14ac:dyDescent="0.4">
      <c r="B12" s="103" t="s">
        <v>12</v>
      </c>
      <c r="C12" s="103"/>
      <c r="D12" s="103"/>
      <c r="E12" s="142"/>
      <c r="F12" s="142"/>
      <c r="G12" s="103"/>
      <c r="H12" s="143"/>
      <c r="I12" s="142"/>
      <c r="J12" s="103"/>
      <c r="K12" s="103"/>
      <c r="L12" s="103"/>
      <c r="M12" s="103"/>
      <c r="N12" s="103"/>
      <c r="O12" s="103"/>
      <c r="P12" s="103"/>
      <c r="Q12" s="143"/>
      <c r="R12" s="258"/>
      <c r="S12" s="67"/>
      <c r="T12" s="67"/>
    </row>
    <row r="13" spans="1:20" s="66" customFormat="1" ht="15" x14ac:dyDescent="0.25">
      <c r="B13" s="73" t="s">
        <v>217</v>
      </c>
      <c r="C13" s="73"/>
      <c r="D13" s="74"/>
      <c r="E13" s="332">
        <v>12500000</v>
      </c>
      <c r="F13" s="332">
        <f>$E$13*(1.5/24)</f>
        <v>781250</v>
      </c>
      <c r="G13" s="333">
        <f t="shared" ref="G13:I13" si="2">$E$13*(1.5/24)</f>
        <v>781250</v>
      </c>
      <c r="H13" s="334">
        <f t="shared" si="2"/>
        <v>781250</v>
      </c>
      <c r="I13" s="332">
        <f t="shared" si="2"/>
        <v>781250</v>
      </c>
      <c r="J13" s="333">
        <f>$E$13*(2/24)</f>
        <v>1041666.6666666666</v>
      </c>
      <c r="K13" s="333">
        <f t="shared" ref="K13:M13" si="3">$E$13*(2/24)</f>
        <v>1041666.6666666666</v>
      </c>
      <c r="L13" s="333">
        <f t="shared" si="3"/>
        <v>1041666.6666666666</v>
      </c>
      <c r="M13" s="333">
        <f t="shared" si="3"/>
        <v>1041666.6666666666</v>
      </c>
      <c r="N13" s="333">
        <f>$E$13*(3.5/24)+250000</f>
        <v>2072916.6666666667</v>
      </c>
      <c r="O13" s="333">
        <f t="shared" ref="O13:P13" si="4">$E$13*(2/24)</f>
        <v>1041666.6666666666</v>
      </c>
      <c r="P13" s="333">
        <f t="shared" si="4"/>
        <v>1041666.6666666666</v>
      </c>
      <c r="Q13" s="334">
        <f>$E$13*(3.25/24)</f>
        <v>1692708.3333333333</v>
      </c>
      <c r="R13" s="259">
        <f>SUM(F13:Q13)</f>
        <v>13140625</v>
      </c>
      <c r="S13" s="67"/>
      <c r="T13" s="67"/>
    </row>
    <row r="14" spans="1:20" s="66" customFormat="1" ht="15" x14ac:dyDescent="0.25">
      <c r="B14" s="72" t="s">
        <v>14</v>
      </c>
      <c r="C14" s="72"/>
      <c r="D14" s="75"/>
      <c r="E14" s="335">
        <v>7500000</v>
      </c>
      <c r="F14" s="335">
        <v>468750</v>
      </c>
      <c r="G14" s="336">
        <v>468750</v>
      </c>
      <c r="H14" s="337">
        <v>468750</v>
      </c>
      <c r="I14" s="335">
        <v>468750</v>
      </c>
      <c r="J14" s="336">
        <v>625000</v>
      </c>
      <c r="K14" s="336">
        <v>625000</v>
      </c>
      <c r="L14" s="336">
        <v>625000</v>
      </c>
      <c r="M14" s="336">
        <v>625000</v>
      </c>
      <c r="N14" s="336">
        <v>1243750</v>
      </c>
      <c r="O14" s="336">
        <v>625000</v>
      </c>
      <c r="P14" s="336">
        <v>625000</v>
      </c>
      <c r="Q14" s="337">
        <v>1015624.9999999999</v>
      </c>
      <c r="R14" s="259">
        <f t="shared" ref="R14:R23" si="5">SUM(F14:Q14)</f>
        <v>7884375</v>
      </c>
      <c r="S14" s="67"/>
      <c r="T14" s="67"/>
    </row>
    <row r="15" spans="1:20" s="66" customFormat="1" ht="15" x14ac:dyDescent="0.25">
      <c r="B15" s="72"/>
      <c r="C15" s="72"/>
      <c r="D15" s="75"/>
      <c r="E15" s="146"/>
      <c r="F15" s="146"/>
      <c r="G15" s="79"/>
      <c r="H15" s="147"/>
      <c r="I15" s="146"/>
      <c r="J15" s="79"/>
      <c r="K15" s="79"/>
      <c r="L15" s="79"/>
      <c r="M15" s="79"/>
      <c r="N15" s="79"/>
      <c r="O15" s="79"/>
      <c r="P15" s="79"/>
      <c r="Q15" s="147"/>
      <c r="R15" s="259"/>
      <c r="S15" s="67"/>
      <c r="T15" s="67"/>
    </row>
    <row r="16" spans="1:20" s="66" customFormat="1" ht="15" x14ac:dyDescent="0.25">
      <c r="B16" s="81" t="s">
        <v>15</v>
      </c>
      <c r="C16" s="81"/>
      <c r="D16" s="82"/>
      <c r="E16" s="148">
        <f t="shared" ref="E16:Q16" si="6">E13-E14</f>
        <v>5000000</v>
      </c>
      <c r="F16" s="148">
        <f t="shared" si="6"/>
        <v>312500</v>
      </c>
      <c r="G16" s="83">
        <f t="shared" si="6"/>
        <v>312500</v>
      </c>
      <c r="H16" s="149">
        <f t="shared" si="6"/>
        <v>312500</v>
      </c>
      <c r="I16" s="148">
        <f t="shared" si="6"/>
        <v>312500</v>
      </c>
      <c r="J16" s="83">
        <f t="shared" si="6"/>
        <v>416666.66666666663</v>
      </c>
      <c r="K16" s="83">
        <f t="shared" si="6"/>
        <v>416666.66666666663</v>
      </c>
      <c r="L16" s="83">
        <f t="shared" si="6"/>
        <v>416666.66666666663</v>
      </c>
      <c r="M16" s="83">
        <f t="shared" si="6"/>
        <v>416666.66666666663</v>
      </c>
      <c r="N16" s="83">
        <f t="shared" si="6"/>
        <v>829166.66666666674</v>
      </c>
      <c r="O16" s="83">
        <f t="shared" si="6"/>
        <v>416666.66666666663</v>
      </c>
      <c r="P16" s="83">
        <f t="shared" si="6"/>
        <v>416666.66666666663</v>
      </c>
      <c r="Q16" s="149">
        <f t="shared" si="6"/>
        <v>677083.33333333337</v>
      </c>
      <c r="R16" s="260">
        <f t="shared" si="5"/>
        <v>5256249.9999999991</v>
      </c>
      <c r="S16" s="67"/>
      <c r="T16" s="67"/>
    </row>
    <row r="17" spans="2:20" s="66" customFormat="1" ht="15" x14ac:dyDescent="0.25">
      <c r="B17" s="84" t="s">
        <v>16</v>
      </c>
      <c r="C17" s="84"/>
      <c r="D17" s="85"/>
      <c r="E17" s="239">
        <f>SUM(E18:E20)</f>
        <v>4500000</v>
      </c>
      <c r="F17" s="239">
        <f t="shared" ref="F17:Q17" si="7">SUM(F18:F20)</f>
        <v>375000</v>
      </c>
      <c r="G17" s="80">
        <f t="shared" si="7"/>
        <v>375000</v>
      </c>
      <c r="H17" s="249">
        <f t="shared" si="7"/>
        <v>375000</v>
      </c>
      <c r="I17" s="239">
        <f t="shared" si="7"/>
        <v>375000</v>
      </c>
      <c r="J17" s="80">
        <f t="shared" si="7"/>
        <v>375000</v>
      </c>
      <c r="K17" s="80">
        <f t="shared" si="7"/>
        <v>375000</v>
      </c>
      <c r="L17" s="80">
        <f t="shared" si="7"/>
        <v>375000</v>
      </c>
      <c r="M17" s="80">
        <f t="shared" si="7"/>
        <v>375000</v>
      </c>
      <c r="N17" s="80">
        <f t="shared" si="7"/>
        <v>375000</v>
      </c>
      <c r="O17" s="80">
        <f t="shared" si="7"/>
        <v>375000</v>
      </c>
      <c r="P17" s="80">
        <f t="shared" si="7"/>
        <v>375000</v>
      </c>
      <c r="Q17" s="249">
        <f t="shared" si="7"/>
        <v>375000</v>
      </c>
      <c r="R17" s="259">
        <f t="shared" si="5"/>
        <v>4500000</v>
      </c>
      <c r="S17" s="67"/>
      <c r="T17" s="67"/>
    </row>
    <row r="18" spans="2:20" s="66" customFormat="1" ht="15" x14ac:dyDescent="0.25">
      <c r="B18" s="66" t="s">
        <v>136</v>
      </c>
      <c r="C18" s="84"/>
      <c r="D18" s="85"/>
      <c r="E18" s="332">
        <v>0</v>
      </c>
      <c r="F18" s="332">
        <v>0</v>
      </c>
      <c r="G18" s="333">
        <v>0</v>
      </c>
      <c r="H18" s="334">
        <v>0</v>
      </c>
      <c r="I18" s="332">
        <v>0</v>
      </c>
      <c r="J18" s="333">
        <v>0</v>
      </c>
      <c r="K18" s="333">
        <v>0</v>
      </c>
      <c r="L18" s="333">
        <v>0</v>
      </c>
      <c r="M18" s="333">
        <v>0</v>
      </c>
      <c r="N18" s="333">
        <v>0</v>
      </c>
      <c r="O18" s="333">
        <v>0</v>
      </c>
      <c r="P18" s="333">
        <v>0</v>
      </c>
      <c r="Q18" s="334">
        <v>0</v>
      </c>
      <c r="R18" s="261">
        <f t="shared" si="5"/>
        <v>0</v>
      </c>
      <c r="S18" s="67"/>
      <c r="T18" s="67"/>
    </row>
    <row r="19" spans="2:20" s="66" customFormat="1" ht="15" x14ac:dyDescent="0.25">
      <c r="B19" s="66" t="s">
        <v>17</v>
      </c>
      <c r="D19" s="70"/>
      <c r="E19" s="335">
        <v>500000</v>
      </c>
      <c r="F19" s="335">
        <v>41666.666666666664</v>
      </c>
      <c r="G19" s="336">
        <v>41666.666666666664</v>
      </c>
      <c r="H19" s="337">
        <v>41666.666666666664</v>
      </c>
      <c r="I19" s="338">
        <v>41666.666666666664</v>
      </c>
      <c r="J19" s="339">
        <v>41666.666666666664</v>
      </c>
      <c r="K19" s="339">
        <v>41666.666666666664</v>
      </c>
      <c r="L19" s="339">
        <v>41666.666666666664</v>
      </c>
      <c r="M19" s="339">
        <v>41666.666666666664</v>
      </c>
      <c r="N19" s="339">
        <v>41666.666666666664</v>
      </c>
      <c r="O19" s="339">
        <v>41666.666666666664</v>
      </c>
      <c r="P19" s="339">
        <v>41666.666666666664</v>
      </c>
      <c r="Q19" s="340">
        <v>41666.666666666664</v>
      </c>
      <c r="R19" s="259">
        <f t="shared" si="5"/>
        <v>500000.00000000006</v>
      </c>
      <c r="S19" s="67"/>
      <c r="T19" s="67"/>
    </row>
    <row r="20" spans="2:20" s="66" customFormat="1" ht="15" x14ac:dyDescent="0.25">
      <c r="B20" s="66" t="s">
        <v>18</v>
      </c>
      <c r="D20" s="70"/>
      <c r="E20" s="335">
        <v>4000000</v>
      </c>
      <c r="F20" s="335">
        <v>333333.33333333331</v>
      </c>
      <c r="G20" s="336">
        <v>333333.33333333331</v>
      </c>
      <c r="H20" s="337">
        <v>333333.33333333331</v>
      </c>
      <c r="I20" s="338">
        <v>333333.33333333331</v>
      </c>
      <c r="J20" s="339">
        <v>333333.33333333331</v>
      </c>
      <c r="K20" s="339">
        <v>333333.33333333331</v>
      </c>
      <c r="L20" s="339">
        <v>333333.33333333331</v>
      </c>
      <c r="M20" s="339">
        <v>333333.33333333331</v>
      </c>
      <c r="N20" s="339">
        <v>333333.33333333331</v>
      </c>
      <c r="O20" s="339">
        <v>333333.33333333331</v>
      </c>
      <c r="P20" s="339">
        <v>333333.33333333331</v>
      </c>
      <c r="Q20" s="340">
        <v>333333.33333333331</v>
      </c>
      <c r="R20" s="259">
        <f t="shared" si="5"/>
        <v>4000000.0000000005</v>
      </c>
      <c r="S20" s="67"/>
      <c r="T20" s="67"/>
    </row>
    <row r="21" spans="2:20" s="66" customFormat="1" ht="15" x14ac:dyDescent="0.25">
      <c r="D21" s="70"/>
      <c r="E21" s="144"/>
      <c r="F21" s="144"/>
      <c r="G21" s="137"/>
      <c r="H21" s="145"/>
      <c r="I21" s="253"/>
      <c r="J21" s="251"/>
      <c r="K21" s="251"/>
      <c r="L21" s="251"/>
      <c r="M21" s="251"/>
      <c r="N21" s="251"/>
      <c r="O21" s="251"/>
      <c r="P21" s="251"/>
      <c r="Q21" s="254"/>
      <c r="R21" s="259"/>
      <c r="S21" s="67"/>
      <c r="T21" s="67"/>
    </row>
    <row r="22" spans="2:20" s="66" customFormat="1" ht="15" x14ac:dyDescent="0.25">
      <c r="B22" s="81" t="s">
        <v>165</v>
      </c>
      <c r="C22" s="81"/>
      <c r="D22" s="82"/>
      <c r="E22" s="148">
        <f>E16-E18-E19-E20</f>
        <v>500000</v>
      </c>
      <c r="F22" s="148">
        <f t="shared" ref="F22:R22" si="8">F16-F18-F19-F20</f>
        <v>-62500</v>
      </c>
      <c r="G22" s="83">
        <f t="shared" si="8"/>
        <v>-62500</v>
      </c>
      <c r="H22" s="149">
        <f t="shared" si="8"/>
        <v>-62500</v>
      </c>
      <c r="I22" s="148">
        <f t="shared" si="8"/>
        <v>-62500</v>
      </c>
      <c r="J22" s="83">
        <f t="shared" si="8"/>
        <v>41666.666666666628</v>
      </c>
      <c r="K22" s="83">
        <f t="shared" si="8"/>
        <v>41666.666666666628</v>
      </c>
      <c r="L22" s="83">
        <f t="shared" si="8"/>
        <v>41666.666666666628</v>
      </c>
      <c r="M22" s="83">
        <f t="shared" si="8"/>
        <v>41666.666666666628</v>
      </c>
      <c r="N22" s="83">
        <f t="shared" si="8"/>
        <v>454166.6666666668</v>
      </c>
      <c r="O22" s="83">
        <f t="shared" si="8"/>
        <v>41666.666666666628</v>
      </c>
      <c r="P22" s="83">
        <f t="shared" si="8"/>
        <v>41666.666666666628</v>
      </c>
      <c r="Q22" s="149">
        <f t="shared" si="8"/>
        <v>302083.33333333343</v>
      </c>
      <c r="R22" s="260">
        <f t="shared" si="8"/>
        <v>756249.9999999986</v>
      </c>
      <c r="S22" s="67"/>
      <c r="T22" s="67"/>
    </row>
    <row r="23" spans="2:20" s="66" customFormat="1" ht="15" x14ac:dyDescent="0.25">
      <c r="B23" s="66" t="s">
        <v>19</v>
      </c>
      <c r="D23" s="70"/>
      <c r="E23" s="335">
        <v>150000</v>
      </c>
      <c r="F23" s="335">
        <v>12500</v>
      </c>
      <c r="G23" s="336">
        <v>12500</v>
      </c>
      <c r="H23" s="337">
        <v>12500</v>
      </c>
      <c r="I23" s="338">
        <v>12500</v>
      </c>
      <c r="J23" s="339">
        <v>13020.833333333334</v>
      </c>
      <c r="K23" s="339">
        <v>13020.833333333334</v>
      </c>
      <c r="L23" s="339">
        <v>13020.833333333334</v>
      </c>
      <c r="M23" s="339">
        <v>13020.833333333334</v>
      </c>
      <c r="N23" s="339">
        <v>13020.833333333334</v>
      </c>
      <c r="O23" s="339">
        <v>13020.833333333334</v>
      </c>
      <c r="P23" s="339">
        <v>13020.833333333334</v>
      </c>
      <c r="Q23" s="339">
        <v>13020.833333333334</v>
      </c>
      <c r="R23" s="259">
        <f t="shared" si="5"/>
        <v>154166.66666666666</v>
      </c>
      <c r="S23" s="67"/>
      <c r="T23" s="67"/>
    </row>
    <row r="24" spans="2:20" s="66" customFormat="1" ht="15" x14ac:dyDescent="0.25">
      <c r="E24" s="122"/>
      <c r="F24" s="122"/>
      <c r="G24" s="72"/>
      <c r="H24" s="123"/>
      <c r="I24" s="122"/>
      <c r="J24" s="72"/>
      <c r="K24" s="72"/>
      <c r="L24" s="72"/>
      <c r="M24" s="72"/>
      <c r="N24" s="72"/>
      <c r="O24" s="72"/>
      <c r="P24" s="72"/>
      <c r="Q24" s="123"/>
      <c r="R24" s="262"/>
      <c r="S24" s="67"/>
      <c r="T24" s="67"/>
    </row>
    <row r="25" spans="2:20" s="66" customFormat="1" ht="15" collapsed="1" x14ac:dyDescent="0.25">
      <c r="B25" s="81" t="s">
        <v>164</v>
      </c>
      <c r="C25" s="81"/>
      <c r="D25" s="82"/>
      <c r="E25" s="148">
        <f>E22-E23</f>
        <v>350000</v>
      </c>
      <c r="F25" s="148">
        <f t="shared" ref="F25:R25" si="9">F22-F23</f>
        <v>-75000</v>
      </c>
      <c r="G25" s="83">
        <f t="shared" si="9"/>
        <v>-75000</v>
      </c>
      <c r="H25" s="149">
        <f t="shared" si="9"/>
        <v>-75000</v>
      </c>
      <c r="I25" s="148">
        <f t="shared" si="9"/>
        <v>-75000</v>
      </c>
      <c r="J25" s="83">
        <f t="shared" si="9"/>
        <v>28645.833333333292</v>
      </c>
      <c r="K25" s="83">
        <f t="shared" si="9"/>
        <v>28645.833333333292</v>
      </c>
      <c r="L25" s="83">
        <f t="shared" si="9"/>
        <v>28645.833333333292</v>
      </c>
      <c r="M25" s="83">
        <f t="shared" si="9"/>
        <v>28645.833333333292</v>
      </c>
      <c r="N25" s="83">
        <f t="shared" si="9"/>
        <v>441145.83333333349</v>
      </c>
      <c r="O25" s="83">
        <f t="shared" si="9"/>
        <v>28645.833333333292</v>
      </c>
      <c r="P25" s="83">
        <f t="shared" si="9"/>
        <v>28645.833333333292</v>
      </c>
      <c r="Q25" s="149">
        <f t="shared" si="9"/>
        <v>289062.50000000012</v>
      </c>
      <c r="R25" s="260">
        <f t="shared" si="9"/>
        <v>602083.33333333198</v>
      </c>
      <c r="S25" s="67"/>
      <c r="T25" s="67"/>
    </row>
    <row r="26" spans="2:20" s="66" customFormat="1" ht="15" x14ac:dyDescent="0.25">
      <c r="B26" s="72" t="s">
        <v>20</v>
      </c>
      <c r="C26" s="72"/>
      <c r="D26" s="75"/>
      <c r="E26" s="335">
        <v>50000</v>
      </c>
      <c r="F26" s="335">
        <v>4166.666666666667</v>
      </c>
      <c r="G26" s="336">
        <v>4166.666666666667</v>
      </c>
      <c r="H26" s="337">
        <v>4166.666666666667</v>
      </c>
      <c r="I26" s="335">
        <v>4166.666666666667</v>
      </c>
      <c r="J26" s="336">
        <v>3869.0476190476193</v>
      </c>
      <c r="K26" s="336">
        <v>3869.0476190476193</v>
      </c>
      <c r="L26" s="336">
        <v>3869.0476190476193</v>
      </c>
      <c r="M26" s="336">
        <v>3869.0476190476193</v>
      </c>
      <c r="N26" s="336">
        <v>3869.0476190476193</v>
      </c>
      <c r="O26" s="336">
        <v>3869.0476190476193</v>
      </c>
      <c r="P26" s="336">
        <v>3869.0476190476193</v>
      </c>
      <c r="Q26" s="337">
        <v>3869.0476190476193</v>
      </c>
      <c r="R26" s="259">
        <f>SUM(F26:Q26)</f>
        <v>47619.047619047618</v>
      </c>
      <c r="S26" s="67"/>
      <c r="T26" s="67"/>
    </row>
    <row r="27" spans="2:20" s="66" customFormat="1" ht="15" x14ac:dyDescent="0.25">
      <c r="B27" s="72" t="s">
        <v>23</v>
      </c>
      <c r="C27" s="72"/>
      <c r="D27" s="75"/>
      <c r="E27" s="335">
        <v>125000</v>
      </c>
      <c r="F27" s="335">
        <f t="shared" ref="F27:H27" si="10">(F25-F26)*$E$108</f>
        <v>-32986.111111111117</v>
      </c>
      <c r="G27" s="336">
        <f t="shared" si="10"/>
        <v>-32986.111111111117</v>
      </c>
      <c r="H27" s="337">
        <f t="shared" si="10"/>
        <v>-32986.111111111117</v>
      </c>
      <c r="I27" s="341">
        <v>-32986.111111111117</v>
      </c>
      <c r="J27" s="342">
        <v>10323.660714285697</v>
      </c>
      <c r="K27" s="342">
        <v>10323.660714285697</v>
      </c>
      <c r="L27" s="342">
        <v>10323.660714285697</v>
      </c>
      <c r="M27" s="342">
        <v>10323.660714285697</v>
      </c>
      <c r="N27" s="342">
        <v>182198.66071428577</v>
      </c>
      <c r="O27" s="342">
        <v>10323.660714285697</v>
      </c>
      <c r="P27" s="342">
        <v>10323.660714285697</v>
      </c>
      <c r="Q27" s="343">
        <v>118830.60515873021</v>
      </c>
      <c r="R27" s="259">
        <f>SUM(F27:Q27)</f>
        <v>231026.78571428568</v>
      </c>
      <c r="S27" s="67"/>
      <c r="T27" s="67"/>
    </row>
    <row r="28" spans="2:20" s="66" customFormat="1" ht="15" x14ac:dyDescent="0.25">
      <c r="E28" s="122"/>
      <c r="F28" s="122"/>
      <c r="G28" s="72"/>
      <c r="H28" s="123"/>
      <c r="I28" s="122"/>
      <c r="J28" s="72"/>
      <c r="K28" s="72"/>
      <c r="L28" s="72"/>
      <c r="M28" s="72"/>
      <c r="N28" s="72"/>
      <c r="O28" s="72"/>
      <c r="P28" s="72"/>
      <c r="Q28" s="123"/>
      <c r="R28" s="262"/>
      <c r="S28" s="67"/>
      <c r="T28" s="67"/>
    </row>
    <row r="29" spans="2:20" s="66" customFormat="1" ht="15.6" thickBot="1" x14ac:dyDescent="0.3">
      <c r="B29" s="87" t="s">
        <v>166</v>
      </c>
      <c r="C29" s="87"/>
      <c r="D29" s="88"/>
      <c r="E29" s="152">
        <f>E25-E27-E26</f>
        <v>175000</v>
      </c>
      <c r="F29" s="152">
        <f t="shared" ref="F29:R29" si="11">F25-F27-F26</f>
        <v>-46180.555555555547</v>
      </c>
      <c r="G29" s="89">
        <f t="shared" si="11"/>
        <v>-46180.555555555547</v>
      </c>
      <c r="H29" s="153">
        <f t="shared" si="11"/>
        <v>-46180.555555555547</v>
      </c>
      <c r="I29" s="152">
        <f t="shared" si="11"/>
        <v>-46180.555555555547</v>
      </c>
      <c r="J29" s="89">
        <f t="shared" si="11"/>
        <v>14453.124999999978</v>
      </c>
      <c r="K29" s="89">
        <f t="shared" si="11"/>
        <v>14453.124999999978</v>
      </c>
      <c r="L29" s="89">
        <f t="shared" si="11"/>
        <v>14453.124999999978</v>
      </c>
      <c r="M29" s="89">
        <f t="shared" si="11"/>
        <v>14453.124999999978</v>
      </c>
      <c r="N29" s="89">
        <f t="shared" si="11"/>
        <v>255078.12500000009</v>
      </c>
      <c r="O29" s="89">
        <f t="shared" si="11"/>
        <v>14453.124999999978</v>
      </c>
      <c r="P29" s="89">
        <f t="shared" si="11"/>
        <v>14453.124999999978</v>
      </c>
      <c r="Q29" s="153">
        <f t="shared" si="11"/>
        <v>166362.84722222228</v>
      </c>
      <c r="R29" s="263">
        <f t="shared" si="11"/>
        <v>323437.49999999866</v>
      </c>
      <c r="S29" s="67"/>
      <c r="T29" s="67"/>
    </row>
    <row r="30" spans="2:20" s="66" customFormat="1" ht="15.6" thickTop="1" x14ac:dyDescent="0.25">
      <c r="E30" s="122"/>
      <c r="F30" s="122"/>
      <c r="G30" s="72"/>
      <c r="H30" s="123"/>
      <c r="I30" s="122"/>
      <c r="J30" s="72"/>
      <c r="K30" s="72"/>
      <c r="L30" s="72"/>
      <c r="M30" s="72"/>
      <c r="N30" s="72"/>
      <c r="O30" s="72"/>
      <c r="P30" s="72"/>
      <c r="Q30" s="123"/>
      <c r="R30" s="262"/>
      <c r="S30" s="67"/>
      <c r="T30" s="67"/>
    </row>
    <row r="31" spans="2:20" s="66" customFormat="1" ht="15" x14ac:dyDescent="0.25">
      <c r="D31" s="70"/>
      <c r="E31" s="146"/>
      <c r="F31" s="146"/>
      <c r="G31" s="79"/>
      <c r="H31" s="147"/>
      <c r="I31" s="146"/>
      <c r="J31" s="79"/>
      <c r="K31" s="79"/>
      <c r="L31" s="79"/>
      <c r="M31" s="79"/>
      <c r="N31" s="106"/>
      <c r="O31" s="106"/>
      <c r="P31" s="106"/>
      <c r="Q31" s="233"/>
      <c r="R31" s="257"/>
      <c r="S31" s="67"/>
      <c r="T31" s="67"/>
    </row>
    <row r="32" spans="2:20" s="66" customFormat="1" ht="21" thickBot="1" x14ac:dyDescent="0.4">
      <c r="B32" s="103" t="s">
        <v>8</v>
      </c>
      <c r="C32" s="103"/>
      <c r="D32" s="103"/>
      <c r="E32" s="142"/>
      <c r="F32" s="142"/>
      <c r="G32" s="103"/>
      <c r="H32" s="143"/>
      <c r="I32" s="142"/>
      <c r="J32" s="103"/>
      <c r="K32" s="103"/>
      <c r="L32" s="103"/>
      <c r="M32" s="103"/>
      <c r="N32" s="103"/>
      <c r="O32" s="103"/>
      <c r="P32" s="103"/>
      <c r="Q32" s="143"/>
      <c r="R32" s="258"/>
      <c r="S32" s="67"/>
      <c r="T32" s="67"/>
    </row>
    <row r="33" spans="2:20" s="66" customFormat="1" ht="15" x14ac:dyDescent="0.25">
      <c r="B33" s="73" t="s">
        <v>25</v>
      </c>
      <c r="D33" s="70"/>
      <c r="E33" s="146"/>
      <c r="F33" s="146"/>
      <c r="G33" s="79"/>
      <c r="H33" s="147"/>
      <c r="I33" s="122"/>
      <c r="J33" s="72"/>
      <c r="K33" s="72"/>
      <c r="L33" s="72"/>
      <c r="M33" s="72"/>
      <c r="N33" s="106"/>
      <c r="O33" s="106"/>
      <c r="P33" s="106"/>
      <c r="Q33" s="233"/>
      <c r="R33" s="257"/>
      <c r="S33" s="67"/>
      <c r="T33" s="67"/>
    </row>
    <row r="34" spans="2:20" s="66" customFormat="1" ht="15" x14ac:dyDescent="0.25">
      <c r="B34" s="66" t="s">
        <v>26</v>
      </c>
      <c r="D34" s="67"/>
      <c r="E34" s="335">
        <v>475000</v>
      </c>
      <c r="F34" s="122">
        <f>+F74</f>
        <v>494977.1689497715</v>
      </c>
      <c r="G34" s="72">
        <f t="shared" ref="G34:Q34" si="12">+G74</f>
        <v>504509.60155125998</v>
      </c>
      <c r="H34" s="123">
        <f t="shared" si="12"/>
        <v>504856.38930946396</v>
      </c>
      <c r="I34" s="122">
        <f t="shared" si="12"/>
        <v>397124.84283562913</v>
      </c>
      <c r="J34" s="72">
        <f t="shared" si="12"/>
        <v>223967.68630854209</v>
      </c>
      <c r="K34" s="72">
        <f t="shared" si="12"/>
        <v>198592.29268178472</v>
      </c>
      <c r="L34" s="72">
        <f t="shared" si="12"/>
        <v>202818.57729522692</v>
      </c>
      <c r="M34" s="72">
        <f t="shared" si="12"/>
        <v>211091.81729251429</v>
      </c>
      <c r="N34" s="72">
        <f t="shared" si="12"/>
        <v>451776.90024381439</v>
      </c>
      <c r="O34" s="72">
        <f t="shared" si="12"/>
        <v>488877.60398480843</v>
      </c>
      <c r="P34" s="72">
        <f t="shared" si="12"/>
        <v>526062.31943399785</v>
      </c>
      <c r="Q34" s="123">
        <f t="shared" si="12"/>
        <v>707798.65887861408</v>
      </c>
      <c r="R34" s="257"/>
      <c r="S34" s="67"/>
      <c r="T34" s="67"/>
    </row>
    <row r="35" spans="2:20" s="66" customFormat="1" ht="15" x14ac:dyDescent="0.25">
      <c r="B35" s="66" t="s">
        <v>27</v>
      </c>
      <c r="D35" s="67"/>
      <c r="E35" s="335">
        <v>1500000</v>
      </c>
      <c r="F35" s="335">
        <v>1413356.1643835618</v>
      </c>
      <c r="G35" s="336">
        <v>1337157.0651154066</v>
      </c>
      <c r="H35" s="337">
        <v>1270143.6106905357</v>
      </c>
      <c r="I35" s="335">
        <v>1211208.4904977041</v>
      </c>
      <c r="J35" s="336">
        <v>1222163.2660724102</v>
      </c>
      <c r="K35" s="336">
        <v>1260336.2787467863</v>
      </c>
      <c r="L35" s="336">
        <v>1293907.6131809636</v>
      </c>
      <c r="M35" s="336">
        <v>1323431.992231295</v>
      </c>
      <c r="N35" s="336">
        <v>1533044.5283276138</v>
      </c>
      <c r="O35" s="336">
        <v>1533741.4436342393</v>
      </c>
      <c r="P35" s="336">
        <v>1534354.3472326689</v>
      </c>
      <c r="Q35" s="337">
        <v>1650832.293502338</v>
      </c>
      <c r="R35" s="257"/>
      <c r="S35" s="67"/>
      <c r="T35" s="67"/>
    </row>
    <row r="36" spans="2:20" s="66" customFormat="1" ht="15" x14ac:dyDescent="0.25">
      <c r="B36" s="66" t="s">
        <v>28</v>
      </c>
      <c r="D36" s="67"/>
      <c r="E36" s="335">
        <v>2500000</v>
      </c>
      <c r="F36" s="335">
        <v>2500000</v>
      </c>
      <c r="G36" s="336">
        <v>2500000</v>
      </c>
      <c r="H36" s="337">
        <v>2500000</v>
      </c>
      <c r="I36" s="335">
        <v>2500000</v>
      </c>
      <c r="J36" s="336">
        <v>2500000</v>
      </c>
      <c r="K36" s="336">
        <v>2500000</v>
      </c>
      <c r="L36" s="336">
        <v>2500000</v>
      </c>
      <c r="M36" s="336">
        <v>2500000</v>
      </c>
      <c r="N36" s="336">
        <v>2500000</v>
      </c>
      <c r="O36" s="336">
        <v>2500000</v>
      </c>
      <c r="P36" s="336">
        <v>2500000</v>
      </c>
      <c r="Q36" s="337">
        <v>2500000</v>
      </c>
      <c r="R36" s="257"/>
      <c r="S36" s="67"/>
      <c r="T36" s="67"/>
    </row>
    <row r="37" spans="2:20" s="66" customFormat="1" ht="15" x14ac:dyDescent="0.25">
      <c r="B37" s="66" t="s">
        <v>29</v>
      </c>
      <c r="D37" s="70"/>
      <c r="E37" s="335">
        <v>1000000</v>
      </c>
      <c r="F37" s="122">
        <f>E37-150000/12+F63</f>
        <v>987500</v>
      </c>
      <c r="G37" s="72">
        <f t="shared" ref="G37:I37" si="13">F37-150000/12+G63</f>
        <v>975000</v>
      </c>
      <c r="H37" s="123">
        <f t="shared" si="13"/>
        <v>962500</v>
      </c>
      <c r="I37" s="122">
        <f t="shared" si="13"/>
        <v>950000</v>
      </c>
      <c r="J37" s="72">
        <f>I37-150000/12+J63-25000/12/4</f>
        <v>936979.16666666663</v>
      </c>
      <c r="K37" s="72">
        <f t="shared" ref="K37:Q37" si="14">J37-150000/12+K63-25000/12/4</f>
        <v>948958.33333333326</v>
      </c>
      <c r="L37" s="72">
        <f t="shared" si="14"/>
        <v>935937.49999999988</v>
      </c>
      <c r="M37" s="72">
        <f t="shared" si="14"/>
        <v>922916.66666666651</v>
      </c>
      <c r="N37" s="72">
        <f t="shared" si="14"/>
        <v>909895.83333333314</v>
      </c>
      <c r="O37" s="72">
        <f t="shared" si="14"/>
        <v>896874.99999999977</v>
      </c>
      <c r="P37" s="72">
        <f t="shared" si="14"/>
        <v>883854.1666666664</v>
      </c>
      <c r="Q37" s="123">
        <f t="shared" si="14"/>
        <v>870833.33333333302</v>
      </c>
      <c r="R37" s="257"/>
      <c r="S37" s="67"/>
      <c r="T37" s="67"/>
    </row>
    <row r="38" spans="2:20" s="66" customFormat="1" ht="15.6" thickBot="1" x14ac:dyDescent="0.3">
      <c r="B38" s="87" t="s">
        <v>30</v>
      </c>
      <c r="C38" s="87"/>
      <c r="D38" s="88"/>
      <c r="E38" s="152">
        <f>SUM(E34:E37)</f>
        <v>5475000</v>
      </c>
      <c r="F38" s="152">
        <f t="shared" ref="F38:Q38" si="15">SUM(F34:F37)</f>
        <v>5395833.333333333</v>
      </c>
      <c r="G38" s="89">
        <f t="shared" si="15"/>
        <v>5316666.666666666</v>
      </c>
      <c r="H38" s="153">
        <f t="shared" si="15"/>
        <v>5237500</v>
      </c>
      <c r="I38" s="152">
        <f t="shared" si="15"/>
        <v>5058333.333333333</v>
      </c>
      <c r="J38" s="89">
        <f t="shared" si="15"/>
        <v>4883110.1190476194</v>
      </c>
      <c r="K38" s="89">
        <f t="shared" si="15"/>
        <v>4907886.9047619039</v>
      </c>
      <c r="L38" s="89">
        <f t="shared" si="15"/>
        <v>4932663.6904761903</v>
      </c>
      <c r="M38" s="89">
        <f t="shared" si="15"/>
        <v>4957440.4761904757</v>
      </c>
      <c r="N38" s="89">
        <f t="shared" si="15"/>
        <v>5394717.2619047612</v>
      </c>
      <c r="O38" s="89">
        <f t="shared" si="15"/>
        <v>5419494.0476190476</v>
      </c>
      <c r="P38" s="89">
        <f t="shared" si="15"/>
        <v>5444270.833333333</v>
      </c>
      <c r="Q38" s="153">
        <f t="shared" si="15"/>
        <v>5729464.2857142845</v>
      </c>
      <c r="R38" s="257"/>
      <c r="S38" s="67"/>
      <c r="T38" s="67"/>
    </row>
    <row r="39" spans="2:20" s="66" customFormat="1" ht="15.6" thickTop="1" x14ac:dyDescent="0.25">
      <c r="B39" s="84"/>
      <c r="C39" s="84"/>
      <c r="D39" s="85"/>
      <c r="E39" s="150"/>
      <c r="F39" s="150"/>
      <c r="G39" s="78"/>
      <c r="H39" s="151"/>
      <c r="I39" s="255"/>
      <c r="J39" s="84"/>
      <c r="K39" s="84"/>
      <c r="L39" s="84"/>
      <c r="M39" s="84"/>
      <c r="N39" s="106"/>
      <c r="O39" s="106"/>
      <c r="P39" s="106"/>
      <c r="Q39" s="233"/>
      <c r="R39" s="257"/>
      <c r="S39" s="67"/>
      <c r="T39" s="67"/>
    </row>
    <row r="40" spans="2:20" s="66" customFormat="1" ht="15" x14ac:dyDescent="0.25">
      <c r="B40" s="73" t="s">
        <v>31</v>
      </c>
      <c r="D40" s="67"/>
      <c r="E40" s="146"/>
      <c r="F40" s="146"/>
      <c r="G40" s="79"/>
      <c r="H40" s="147"/>
      <c r="I40" s="122"/>
      <c r="J40" s="72"/>
      <c r="K40" s="72"/>
      <c r="L40" s="72"/>
      <c r="M40" s="72"/>
      <c r="N40" s="106"/>
      <c r="O40" s="106"/>
      <c r="P40" s="106"/>
      <c r="Q40" s="233"/>
      <c r="R40" s="257"/>
      <c r="S40" s="67"/>
      <c r="T40" s="67"/>
    </row>
    <row r="41" spans="2:20" s="66" customFormat="1" ht="15" x14ac:dyDescent="0.25">
      <c r="B41" s="66" t="s">
        <v>32</v>
      </c>
      <c r="D41" s="67"/>
      <c r="E41" s="335">
        <v>800000</v>
      </c>
      <c r="F41" s="335">
        <v>800000</v>
      </c>
      <c r="G41" s="336">
        <v>800000</v>
      </c>
      <c r="H41" s="337">
        <v>800000</v>
      </c>
      <c r="I41" s="335">
        <v>800000</v>
      </c>
      <c r="J41" s="336">
        <v>800000</v>
      </c>
      <c r="K41" s="336">
        <v>800000</v>
      </c>
      <c r="L41" s="336">
        <v>800000</v>
      </c>
      <c r="M41" s="336">
        <v>800000</v>
      </c>
      <c r="N41" s="336">
        <v>800000</v>
      </c>
      <c r="O41" s="336">
        <v>800000</v>
      </c>
      <c r="P41" s="336">
        <v>800000</v>
      </c>
      <c r="Q41" s="337">
        <v>800000</v>
      </c>
      <c r="R41" s="257"/>
      <c r="S41" s="67"/>
      <c r="T41" s="67"/>
    </row>
    <row r="42" spans="2:20" s="66" customFormat="1" ht="15" x14ac:dyDescent="0.25">
      <c r="B42" s="66" t="s">
        <v>104</v>
      </c>
      <c r="D42" s="67"/>
      <c r="E42" s="335">
        <v>175000</v>
      </c>
      <c r="F42" s="122">
        <f t="shared" ref="F42:Q42" si="16">+E42+F27-F58</f>
        <v>142013.88888888888</v>
      </c>
      <c r="G42" s="72">
        <f t="shared" si="16"/>
        <v>109027.77777777775</v>
      </c>
      <c r="H42" s="123">
        <f t="shared" si="16"/>
        <v>76041.666666666628</v>
      </c>
      <c r="I42" s="122">
        <f>+H42+I27-I58</f>
        <v>-56944.444444444489</v>
      </c>
      <c r="J42" s="72">
        <f t="shared" si="16"/>
        <v>-46620.783730158793</v>
      </c>
      <c r="K42" s="72">
        <f t="shared" si="16"/>
        <v>-36297.123015873098</v>
      </c>
      <c r="L42" s="72">
        <f t="shared" si="16"/>
        <v>-25973.462301587402</v>
      </c>
      <c r="M42" s="72">
        <f t="shared" si="16"/>
        <v>-15649.801587301705</v>
      </c>
      <c r="N42" s="72">
        <f t="shared" si="16"/>
        <v>166548.85912698405</v>
      </c>
      <c r="O42" s="72">
        <f t="shared" si="16"/>
        <v>176872.51984126976</v>
      </c>
      <c r="P42" s="72">
        <f t="shared" si="16"/>
        <v>187196.18055555547</v>
      </c>
      <c r="Q42" s="123">
        <f t="shared" si="16"/>
        <v>306026.78571428568</v>
      </c>
      <c r="R42" s="257"/>
      <c r="S42" s="67"/>
      <c r="T42" s="67"/>
    </row>
    <row r="43" spans="2:20" s="66" customFormat="1" ht="15" x14ac:dyDescent="0.25">
      <c r="B43" s="66" t="s">
        <v>33</v>
      </c>
      <c r="D43" s="70"/>
      <c r="E43" s="335">
        <v>2800000</v>
      </c>
      <c r="F43" s="335">
        <v>2800000</v>
      </c>
      <c r="G43" s="336">
        <v>2800000</v>
      </c>
      <c r="H43" s="337">
        <v>2800000</v>
      </c>
      <c r="I43" s="335">
        <v>2800000</v>
      </c>
      <c r="J43" s="336">
        <v>2600000</v>
      </c>
      <c r="K43" s="336">
        <v>2600000</v>
      </c>
      <c r="L43" s="336">
        <v>2600000</v>
      </c>
      <c r="M43" s="336">
        <v>2600000</v>
      </c>
      <c r="N43" s="336">
        <v>2600000</v>
      </c>
      <c r="O43" s="336">
        <v>2600000</v>
      </c>
      <c r="P43" s="336">
        <v>2600000</v>
      </c>
      <c r="Q43" s="337">
        <v>2600000</v>
      </c>
      <c r="R43" s="257"/>
      <c r="S43" s="67"/>
      <c r="T43" s="67"/>
    </row>
    <row r="44" spans="2:20" s="66" customFormat="1" ht="15" x14ac:dyDescent="0.25">
      <c r="B44" s="81" t="s">
        <v>34</v>
      </c>
      <c r="C44" s="81"/>
      <c r="D44" s="82"/>
      <c r="E44" s="148">
        <f>SUM(E41:E43)</f>
        <v>3775000</v>
      </c>
      <c r="F44" s="148">
        <f t="shared" ref="F44:H44" si="17">SUM(F41:F43)</f>
        <v>3742013.888888889</v>
      </c>
      <c r="G44" s="83">
        <f t="shared" si="17"/>
        <v>3709027.777777778</v>
      </c>
      <c r="H44" s="149">
        <f t="shared" si="17"/>
        <v>3676041.6666666665</v>
      </c>
      <c r="I44" s="148">
        <f t="shared" ref="I44:Q44" si="18">SUM(I41:I43)</f>
        <v>3543055.5555555555</v>
      </c>
      <c r="J44" s="83">
        <f t="shared" si="18"/>
        <v>3353379.2162698414</v>
      </c>
      <c r="K44" s="83">
        <f t="shared" si="18"/>
        <v>3363702.8769841269</v>
      </c>
      <c r="L44" s="83">
        <f t="shared" si="18"/>
        <v>3374026.5376984123</v>
      </c>
      <c r="M44" s="83">
        <f t="shared" si="18"/>
        <v>3384350.1984126982</v>
      </c>
      <c r="N44" s="83">
        <f t="shared" si="18"/>
        <v>3566548.8591269841</v>
      </c>
      <c r="O44" s="83">
        <f t="shared" si="18"/>
        <v>3576872.5198412696</v>
      </c>
      <c r="P44" s="83">
        <f t="shared" si="18"/>
        <v>3587196.1805555555</v>
      </c>
      <c r="Q44" s="149">
        <f t="shared" si="18"/>
        <v>3706026.7857142854</v>
      </c>
      <c r="R44" s="257"/>
      <c r="S44" s="67"/>
      <c r="T44" s="67"/>
    </row>
    <row r="45" spans="2:20" s="66" customFormat="1" ht="15" x14ac:dyDescent="0.25">
      <c r="B45" s="66" t="s">
        <v>36</v>
      </c>
      <c r="D45" s="70"/>
      <c r="E45" s="335">
        <v>200000</v>
      </c>
      <c r="F45" s="335">
        <v>200000</v>
      </c>
      <c r="G45" s="336">
        <v>200000</v>
      </c>
      <c r="H45" s="337">
        <v>200000</v>
      </c>
      <c r="I45" s="335">
        <v>200000</v>
      </c>
      <c r="J45" s="336">
        <v>200000</v>
      </c>
      <c r="K45" s="336">
        <v>200000</v>
      </c>
      <c r="L45" s="336">
        <v>200000</v>
      </c>
      <c r="M45" s="336">
        <v>200000</v>
      </c>
      <c r="N45" s="336">
        <v>200000</v>
      </c>
      <c r="O45" s="336">
        <v>200000</v>
      </c>
      <c r="P45" s="336">
        <v>200000</v>
      </c>
      <c r="Q45" s="337">
        <v>200000</v>
      </c>
      <c r="R45" s="257"/>
      <c r="S45" s="67"/>
      <c r="T45" s="67"/>
    </row>
    <row r="46" spans="2:20" s="66" customFormat="1" ht="15" x14ac:dyDescent="0.25">
      <c r="B46" s="66" t="s">
        <v>37</v>
      </c>
      <c r="D46" s="70"/>
      <c r="E46" s="335">
        <v>1500000</v>
      </c>
      <c r="F46" s="154">
        <f t="shared" ref="F46:Q46" si="19">+E46+F29</f>
        <v>1453819.4444444445</v>
      </c>
      <c r="G46" s="100">
        <f t="shared" si="19"/>
        <v>1407638.888888889</v>
      </c>
      <c r="H46" s="155">
        <f t="shared" si="19"/>
        <v>1361458.3333333335</v>
      </c>
      <c r="I46" s="154">
        <f t="shared" si="19"/>
        <v>1315277.777777778</v>
      </c>
      <c r="J46" s="100">
        <f t="shared" si="19"/>
        <v>1329730.902777778</v>
      </c>
      <c r="K46" s="100">
        <f t="shared" si="19"/>
        <v>1344184.027777778</v>
      </c>
      <c r="L46" s="100">
        <f t="shared" si="19"/>
        <v>1358637.152777778</v>
      </c>
      <c r="M46" s="100">
        <f t="shared" si="19"/>
        <v>1373090.277777778</v>
      </c>
      <c r="N46" s="100">
        <f t="shared" si="19"/>
        <v>1628168.402777778</v>
      </c>
      <c r="O46" s="100">
        <f t="shared" si="19"/>
        <v>1642621.527777778</v>
      </c>
      <c r="P46" s="100">
        <f t="shared" si="19"/>
        <v>1657074.652777778</v>
      </c>
      <c r="Q46" s="155">
        <f t="shared" si="19"/>
        <v>1823437.5000000002</v>
      </c>
      <c r="R46" s="257"/>
      <c r="S46" s="67"/>
      <c r="T46" s="67"/>
    </row>
    <row r="47" spans="2:20" s="66" customFormat="1" ht="15" x14ac:dyDescent="0.25">
      <c r="B47" s="90" t="s">
        <v>35</v>
      </c>
      <c r="C47" s="90"/>
      <c r="D47" s="91"/>
      <c r="E47" s="156">
        <f>SUM(E45:E46)</f>
        <v>1700000</v>
      </c>
      <c r="F47" s="156">
        <f t="shared" ref="F47:Q47" si="20">SUM(F45:F46)</f>
        <v>1653819.4444444445</v>
      </c>
      <c r="G47" s="92">
        <f t="shared" si="20"/>
        <v>1607638.888888889</v>
      </c>
      <c r="H47" s="157">
        <f t="shared" si="20"/>
        <v>1561458.3333333335</v>
      </c>
      <c r="I47" s="156">
        <f t="shared" si="20"/>
        <v>1515277.777777778</v>
      </c>
      <c r="J47" s="92">
        <f t="shared" si="20"/>
        <v>1529730.902777778</v>
      </c>
      <c r="K47" s="92">
        <f t="shared" si="20"/>
        <v>1544184.027777778</v>
      </c>
      <c r="L47" s="92">
        <f t="shared" si="20"/>
        <v>1558637.152777778</v>
      </c>
      <c r="M47" s="92">
        <f t="shared" si="20"/>
        <v>1573090.277777778</v>
      </c>
      <c r="N47" s="92">
        <f t="shared" si="20"/>
        <v>1828168.402777778</v>
      </c>
      <c r="O47" s="92">
        <f t="shared" si="20"/>
        <v>1842621.527777778</v>
      </c>
      <c r="P47" s="92">
        <f t="shared" si="20"/>
        <v>1857074.652777778</v>
      </c>
      <c r="Q47" s="157">
        <f t="shared" si="20"/>
        <v>2023437.5000000002</v>
      </c>
      <c r="R47" s="257"/>
      <c r="S47" s="67"/>
      <c r="T47" s="67"/>
    </row>
    <row r="48" spans="2:20" s="66" customFormat="1" ht="15.6" thickBot="1" x14ac:dyDescent="0.3">
      <c r="B48" s="87" t="s">
        <v>38</v>
      </c>
      <c r="C48" s="87"/>
      <c r="D48" s="88"/>
      <c r="E48" s="152">
        <f t="shared" ref="E48:H48" si="21">E44+E47</f>
        <v>5475000</v>
      </c>
      <c r="F48" s="152">
        <f t="shared" si="21"/>
        <v>5395833.333333334</v>
      </c>
      <c r="G48" s="89">
        <f t="shared" si="21"/>
        <v>5316666.666666667</v>
      </c>
      <c r="H48" s="153">
        <f t="shared" si="21"/>
        <v>5237500</v>
      </c>
      <c r="I48" s="152">
        <f t="shared" ref="I48" si="22">I44+I47</f>
        <v>5058333.333333334</v>
      </c>
      <c r="J48" s="89">
        <f t="shared" ref="J48" si="23">J44+J47</f>
        <v>4883110.1190476194</v>
      </c>
      <c r="K48" s="89">
        <f t="shared" ref="K48" si="24">K44+K47</f>
        <v>4907886.9047619049</v>
      </c>
      <c r="L48" s="89">
        <f t="shared" ref="L48" si="25">L44+L47</f>
        <v>4932663.6904761903</v>
      </c>
      <c r="M48" s="89">
        <f t="shared" ref="M48" si="26">M44+M47</f>
        <v>4957440.4761904757</v>
      </c>
      <c r="N48" s="89">
        <f t="shared" ref="N48" si="27">N44+N47</f>
        <v>5394717.2619047621</v>
      </c>
      <c r="O48" s="89">
        <f t="shared" ref="O48" si="28">O44+O47</f>
        <v>5419494.0476190476</v>
      </c>
      <c r="P48" s="89">
        <f t="shared" ref="P48" si="29">P44+P47</f>
        <v>5444270.833333334</v>
      </c>
      <c r="Q48" s="153">
        <f t="shared" ref="Q48" si="30">Q44+Q47</f>
        <v>5729464.2857142854</v>
      </c>
      <c r="R48" s="257"/>
      <c r="S48" s="67"/>
      <c r="T48" s="67"/>
    </row>
    <row r="49" spans="2:20" s="66" customFormat="1" ht="15.6" thickTop="1" x14ac:dyDescent="0.25">
      <c r="D49" s="70"/>
      <c r="E49" s="146"/>
      <c r="F49" s="146"/>
      <c r="G49" s="79"/>
      <c r="H49" s="147"/>
      <c r="I49" s="146"/>
      <c r="J49" s="79"/>
      <c r="K49" s="79"/>
      <c r="L49" s="79"/>
      <c r="M49" s="79"/>
      <c r="N49" s="79"/>
      <c r="O49" s="79"/>
      <c r="P49" s="79"/>
      <c r="Q49" s="147"/>
      <c r="R49" s="257"/>
      <c r="S49" s="67"/>
      <c r="T49" s="67"/>
    </row>
    <row r="50" spans="2:20" s="66" customFormat="1" ht="15" x14ac:dyDescent="0.25">
      <c r="B50" s="93" t="s">
        <v>39</v>
      </c>
      <c r="C50" s="94"/>
      <c r="D50" s="95"/>
      <c r="E50" s="346">
        <f t="shared" ref="E50:H50" si="31">E48-E38</f>
        <v>0</v>
      </c>
      <c r="F50" s="346">
        <f t="shared" si="31"/>
        <v>0</v>
      </c>
      <c r="G50" s="347">
        <f t="shared" si="31"/>
        <v>0</v>
      </c>
      <c r="H50" s="348">
        <f t="shared" si="31"/>
        <v>0</v>
      </c>
      <c r="I50" s="346">
        <f>I48-I38</f>
        <v>0</v>
      </c>
      <c r="J50" s="347">
        <f t="shared" ref="J50:Q50" si="32">J48-J38</f>
        <v>0</v>
      </c>
      <c r="K50" s="347">
        <f t="shared" si="32"/>
        <v>0</v>
      </c>
      <c r="L50" s="347">
        <f t="shared" si="32"/>
        <v>0</v>
      </c>
      <c r="M50" s="347">
        <f t="shared" si="32"/>
        <v>0</v>
      </c>
      <c r="N50" s="347">
        <f t="shared" si="32"/>
        <v>0</v>
      </c>
      <c r="O50" s="347">
        <f t="shared" si="32"/>
        <v>0</v>
      </c>
      <c r="P50" s="347">
        <f t="shared" si="32"/>
        <v>0</v>
      </c>
      <c r="Q50" s="348">
        <f t="shared" si="32"/>
        <v>0</v>
      </c>
      <c r="R50" s="262"/>
    </row>
    <row r="51" spans="2:20" s="66" customFormat="1" ht="15" x14ac:dyDescent="0.25">
      <c r="B51" s="94"/>
      <c r="C51" s="94"/>
      <c r="D51" s="95"/>
      <c r="E51" s="160"/>
      <c r="F51" s="160"/>
      <c r="G51" s="97"/>
      <c r="H51" s="161"/>
      <c r="I51" s="160"/>
      <c r="J51" s="97"/>
      <c r="K51" s="97"/>
      <c r="L51" s="97"/>
      <c r="M51" s="97"/>
      <c r="N51" s="72"/>
      <c r="O51" s="72"/>
      <c r="P51" s="72"/>
      <c r="Q51" s="123"/>
      <c r="R51" s="262"/>
    </row>
    <row r="52" spans="2:20" s="66" customFormat="1" ht="15" x14ac:dyDescent="0.25">
      <c r="D52" s="70"/>
      <c r="E52" s="146"/>
      <c r="F52" s="146"/>
      <c r="G52" s="79"/>
      <c r="H52" s="147"/>
      <c r="I52" s="122"/>
      <c r="J52" s="72"/>
      <c r="K52" s="72"/>
      <c r="L52" s="72"/>
      <c r="M52" s="72"/>
      <c r="N52" s="72"/>
      <c r="O52" s="72"/>
      <c r="P52" s="72"/>
      <c r="Q52" s="123"/>
      <c r="R52" s="262"/>
    </row>
    <row r="53" spans="2:20" s="66" customFormat="1" ht="21" thickBot="1" x14ac:dyDescent="0.4">
      <c r="B53" s="103" t="s">
        <v>40</v>
      </c>
      <c r="C53" s="103"/>
      <c r="D53" s="103"/>
      <c r="E53" s="142"/>
      <c r="F53" s="142"/>
      <c r="G53" s="103"/>
      <c r="H53" s="143"/>
      <c r="I53" s="142"/>
      <c r="J53" s="103"/>
      <c r="K53" s="103"/>
      <c r="L53" s="103"/>
      <c r="M53" s="103"/>
      <c r="N53" s="103"/>
      <c r="O53" s="103"/>
      <c r="P53" s="103"/>
      <c r="Q53" s="143"/>
      <c r="R53" s="258"/>
    </row>
    <row r="54" spans="2:20" s="66" customFormat="1" ht="15" x14ac:dyDescent="0.25">
      <c r="B54" s="73" t="s">
        <v>41</v>
      </c>
      <c r="D54" s="70"/>
      <c r="E54" s="146"/>
      <c r="F54" s="146"/>
      <c r="G54" s="79"/>
      <c r="H54" s="147"/>
      <c r="I54" s="122"/>
      <c r="J54" s="72"/>
      <c r="K54" s="72"/>
      <c r="L54" s="72"/>
      <c r="M54" s="72"/>
      <c r="N54" s="72"/>
      <c r="O54" s="72"/>
      <c r="P54" s="72"/>
      <c r="Q54" s="123"/>
      <c r="R54" s="262"/>
    </row>
    <row r="55" spans="2:20" s="66" customFormat="1" ht="15" x14ac:dyDescent="0.25">
      <c r="B55" s="66" t="s">
        <v>24</v>
      </c>
      <c r="D55" s="70"/>
      <c r="E55" s="122">
        <f t="shared" ref="E55:Q55" si="33">E29</f>
        <v>175000</v>
      </c>
      <c r="F55" s="122">
        <f t="shared" si="33"/>
        <v>-46180.555555555547</v>
      </c>
      <c r="G55" s="72">
        <f t="shared" si="33"/>
        <v>-46180.555555555547</v>
      </c>
      <c r="H55" s="123">
        <f t="shared" si="33"/>
        <v>-46180.555555555547</v>
      </c>
      <c r="I55" s="122">
        <f t="shared" si="33"/>
        <v>-46180.555555555547</v>
      </c>
      <c r="J55" s="72">
        <f t="shared" si="33"/>
        <v>14453.124999999978</v>
      </c>
      <c r="K55" s="72">
        <f t="shared" si="33"/>
        <v>14453.124999999978</v>
      </c>
      <c r="L55" s="72">
        <f t="shared" si="33"/>
        <v>14453.124999999978</v>
      </c>
      <c r="M55" s="72">
        <f t="shared" si="33"/>
        <v>14453.124999999978</v>
      </c>
      <c r="N55" s="72">
        <f t="shared" si="33"/>
        <v>255078.12500000009</v>
      </c>
      <c r="O55" s="72">
        <f t="shared" si="33"/>
        <v>14453.124999999978</v>
      </c>
      <c r="P55" s="72">
        <f t="shared" si="33"/>
        <v>14453.124999999978</v>
      </c>
      <c r="Q55" s="123">
        <f t="shared" si="33"/>
        <v>166362.84722222228</v>
      </c>
      <c r="R55" s="262">
        <f>SUM(F55:Q55)</f>
        <v>323437.5</v>
      </c>
    </row>
    <row r="56" spans="2:20" s="66" customFormat="1" ht="15" x14ac:dyDescent="0.25">
      <c r="B56" s="66" t="s">
        <v>42</v>
      </c>
      <c r="D56" s="70"/>
      <c r="E56" s="122">
        <f t="shared" ref="E56:Q56" si="34">+E23</f>
        <v>150000</v>
      </c>
      <c r="F56" s="122">
        <f t="shared" si="34"/>
        <v>12500</v>
      </c>
      <c r="G56" s="72">
        <f t="shared" si="34"/>
        <v>12500</v>
      </c>
      <c r="H56" s="123">
        <f t="shared" si="34"/>
        <v>12500</v>
      </c>
      <c r="I56" s="122">
        <f t="shared" si="34"/>
        <v>12500</v>
      </c>
      <c r="J56" s="72">
        <f t="shared" si="34"/>
        <v>13020.833333333334</v>
      </c>
      <c r="K56" s="72">
        <f t="shared" si="34"/>
        <v>13020.833333333334</v>
      </c>
      <c r="L56" s="72">
        <f t="shared" si="34"/>
        <v>13020.833333333334</v>
      </c>
      <c r="M56" s="72">
        <f t="shared" si="34"/>
        <v>13020.833333333334</v>
      </c>
      <c r="N56" s="72">
        <f t="shared" si="34"/>
        <v>13020.833333333334</v>
      </c>
      <c r="O56" s="72">
        <f t="shared" si="34"/>
        <v>13020.833333333334</v>
      </c>
      <c r="P56" s="72">
        <f t="shared" si="34"/>
        <v>13020.833333333334</v>
      </c>
      <c r="Q56" s="123">
        <f t="shared" si="34"/>
        <v>13020.833333333334</v>
      </c>
      <c r="R56" s="262">
        <f t="shared" ref="R56:R59" si="35">SUM(F56:Q56)</f>
        <v>154166.66666666666</v>
      </c>
    </row>
    <row r="57" spans="2:20" s="66" customFormat="1" ht="15" x14ac:dyDescent="0.25">
      <c r="B57" s="66" t="s">
        <v>188</v>
      </c>
      <c r="D57" s="70"/>
      <c r="E57" s="122">
        <v>0</v>
      </c>
      <c r="F57" s="122">
        <f t="shared" ref="F57:H57" si="36">+F42-E42+F58</f>
        <v>-32986.111111111124</v>
      </c>
      <c r="G57" s="72">
        <f t="shared" si="36"/>
        <v>-32986.111111111124</v>
      </c>
      <c r="H57" s="123">
        <f t="shared" si="36"/>
        <v>-32986.111111111124</v>
      </c>
      <c r="I57" s="122">
        <f>+I42-H42+I58</f>
        <v>-32986.111111111124</v>
      </c>
      <c r="J57" s="72">
        <f t="shared" ref="J57:Q57" si="37">+J42-I42+J58</f>
        <v>10323.660714285696</v>
      </c>
      <c r="K57" s="72">
        <f t="shared" si="37"/>
        <v>10323.660714285696</v>
      </c>
      <c r="L57" s="72">
        <f t="shared" si="37"/>
        <v>10323.660714285696</v>
      </c>
      <c r="M57" s="72">
        <f t="shared" si="37"/>
        <v>10323.660714285697</v>
      </c>
      <c r="N57" s="72">
        <f t="shared" si="37"/>
        <v>182198.66071428577</v>
      </c>
      <c r="O57" s="72">
        <f t="shared" si="37"/>
        <v>10323.66071428571</v>
      </c>
      <c r="P57" s="72">
        <f t="shared" si="37"/>
        <v>10323.66071428571</v>
      </c>
      <c r="Q57" s="123">
        <f t="shared" si="37"/>
        <v>118830.60515873021</v>
      </c>
      <c r="R57" s="262">
        <f t="shared" si="35"/>
        <v>231026.78571428568</v>
      </c>
    </row>
    <row r="58" spans="2:20" s="66" customFormat="1" ht="15" x14ac:dyDescent="0.25">
      <c r="B58" s="66" t="s">
        <v>181</v>
      </c>
      <c r="D58" s="70"/>
      <c r="E58" s="335"/>
      <c r="F58" s="335">
        <v>0</v>
      </c>
      <c r="G58" s="336">
        <v>0</v>
      </c>
      <c r="H58" s="337">
        <v>0</v>
      </c>
      <c r="I58" s="335">
        <v>100000</v>
      </c>
      <c r="J58" s="336">
        <v>0</v>
      </c>
      <c r="K58" s="336">
        <v>0</v>
      </c>
      <c r="L58" s="336">
        <v>0</v>
      </c>
      <c r="M58" s="336">
        <v>0</v>
      </c>
      <c r="N58" s="336">
        <v>0</v>
      </c>
      <c r="O58" s="336">
        <v>0</v>
      </c>
      <c r="P58" s="336">
        <v>0</v>
      </c>
      <c r="Q58" s="337">
        <v>0</v>
      </c>
      <c r="R58" s="262">
        <f t="shared" si="35"/>
        <v>100000</v>
      </c>
    </row>
    <row r="59" spans="2:20" s="66" customFormat="1" ht="15" x14ac:dyDescent="0.25">
      <c r="B59" s="66" t="s">
        <v>182</v>
      </c>
      <c r="D59" s="70"/>
      <c r="E59" s="154">
        <v>9002.6500000000015</v>
      </c>
      <c r="F59" s="154">
        <f>+F85</f>
        <v>86643.835616438184</v>
      </c>
      <c r="G59" s="100">
        <f t="shared" ref="G59:Q59" si="38">+G85</f>
        <v>76199.099268155172</v>
      </c>
      <c r="H59" s="155">
        <f t="shared" si="38"/>
        <v>67013.454424870666</v>
      </c>
      <c r="I59" s="154">
        <f t="shared" si="38"/>
        <v>58935.120192831848</v>
      </c>
      <c r="J59" s="100">
        <f t="shared" si="38"/>
        <v>-10954.775574706029</v>
      </c>
      <c r="K59" s="100">
        <f t="shared" si="38"/>
        <v>-38173.012674376369</v>
      </c>
      <c r="L59" s="100">
        <f t="shared" si="38"/>
        <v>-33571.334434176795</v>
      </c>
      <c r="M59" s="100">
        <f t="shared" si="38"/>
        <v>-29524.379050331656</v>
      </c>
      <c r="N59" s="100">
        <f t="shared" si="38"/>
        <v>-209612.53609631909</v>
      </c>
      <c r="O59" s="100">
        <f t="shared" si="38"/>
        <v>-696.91530662495643</v>
      </c>
      <c r="P59" s="100">
        <f t="shared" si="38"/>
        <v>-612.90359842963517</v>
      </c>
      <c r="Q59" s="155">
        <f t="shared" si="38"/>
        <v>-116477.94626966957</v>
      </c>
      <c r="R59" s="262">
        <f t="shared" si="35"/>
        <v>-150832.29350233823</v>
      </c>
    </row>
    <row r="60" spans="2:20" s="66" customFormat="1" ht="15" x14ac:dyDescent="0.25">
      <c r="B60" s="81" t="s">
        <v>44</v>
      </c>
      <c r="C60" s="98"/>
      <c r="D60" s="99"/>
      <c r="E60" s="148">
        <f t="shared" ref="E60" si="39">E55+E56+E59-E58</f>
        <v>334002.65000000002</v>
      </c>
      <c r="F60" s="148">
        <f>F55+F56+F59-F58+F57</f>
        <v>19977.168949771512</v>
      </c>
      <c r="G60" s="83">
        <f t="shared" ref="G60:R60" si="40">G55+G56+G59-G58+G57</f>
        <v>9532.4326014885009</v>
      </c>
      <c r="H60" s="149">
        <f t="shared" si="40"/>
        <v>346.7877582039946</v>
      </c>
      <c r="I60" s="148">
        <f t="shared" si="40"/>
        <v>-107731.54647383482</v>
      </c>
      <c r="J60" s="83">
        <f t="shared" si="40"/>
        <v>26842.84347291298</v>
      </c>
      <c r="K60" s="83">
        <f t="shared" si="40"/>
        <v>-375.39362675735902</v>
      </c>
      <c r="L60" s="83">
        <f t="shared" si="40"/>
        <v>4226.2846134422143</v>
      </c>
      <c r="M60" s="83">
        <f t="shared" si="40"/>
        <v>8273.2399972873554</v>
      </c>
      <c r="N60" s="83">
        <f t="shared" si="40"/>
        <v>240685.08295130011</v>
      </c>
      <c r="O60" s="83">
        <f t="shared" si="40"/>
        <v>37100.703740994068</v>
      </c>
      <c r="P60" s="83">
        <f t="shared" si="40"/>
        <v>37184.715449189389</v>
      </c>
      <c r="Q60" s="149">
        <f t="shared" si="40"/>
        <v>181736.33944461626</v>
      </c>
      <c r="R60" s="149">
        <f t="shared" si="40"/>
        <v>457798.65887861408</v>
      </c>
    </row>
    <row r="61" spans="2:20" s="66" customFormat="1" ht="15" x14ac:dyDescent="0.25">
      <c r="B61" s="84"/>
      <c r="C61" s="72"/>
      <c r="D61" s="75"/>
      <c r="E61" s="150"/>
      <c r="F61" s="150"/>
      <c r="G61" s="78"/>
      <c r="H61" s="151"/>
      <c r="I61" s="255"/>
      <c r="J61" s="84"/>
      <c r="K61" s="84"/>
      <c r="L61" s="84"/>
      <c r="M61" s="84"/>
      <c r="N61" s="84"/>
      <c r="O61" s="84"/>
      <c r="P61" s="84"/>
      <c r="Q61" s="256"/>
      <c r="R61" s="262"/>
    </row>
    <row r="62" spans="2:20" s="66" customFormat="1" ht="15" x14ac:dyDescent="0.25">
      <c r="B62" s="73" t="s">
        <v>45</v>
      </c>
      <c r="D62" s="70"/>
      <c r="E62" s="146"/>
      <c r="F62" s="146"/>
      <c r="G62" s="79"/>
      <c r="H62" s="147"/>
      <c r="I62" s="122"/>
      <c r="J62" s="72"/>
      <c r="K62" s="72"/>
      <c r="L62" s="72"/>
      <c r="M62" s="72"/>
      <c r="N62" s="72"/>
      <c r="O62" s="72"/>
      <c r="P62" s="72"/>
      <c r="Q62" s="123"/>
      <c r="R62" s="262"/>
    </row>
    <row r="63" spans="2:20" s="66" customFormat="1" ht="15" x14ac:dyDescent="0.25">
      <c r="B63" s="66" t="s">
        <v>46</v>
      </c>
      <c r="D63" s="70"/>
      <c r="E63" s="335">
        <v>50000</v>
      </c>
      <c r="F63" s="335">
        <v>0</v>
      </c>
      <c r="G63" s="336">
        <v>0</v>
      </c>
      <c r="H63" s="337">
        <v>0</v>
      </c>
      <c r="I63" s="335">
        <v>0</v>
      </c>
      <c r="J63" s="336">
        <v>0</v>
      </c>
      <c r="K63" s="336">
        <v>25000</v>
      </c>
      <c r="L63" s="336">
        <v>0</v>
      </c>
      <c r="M63" s="336">
        <v>0</v>
      </c>
      <c r="N63" s="336">
        <v>0</v>
      </c>
      <c r="O63" s="336">
        <v>0</v>
      </c>
      <c r="P63" s="336">
        <v>0</v>
      </c>
      <c r="Q63" s="337">
        <v>0</v>
      </c>
      <c r="R63" s="262">
        <f t="shared" ref="R63:R64" si="41">SUM(F63:Q63)</f>
        <v>25000</v>
      </c>
    </row>
    <row r="64" spans="2:20" s="66" customFormat="1" ht="15" x14ac:dyDescent="0.25">
      <c r="B64" s="66" t="s">
        <v>163</v>
      </c>
      <c r="E64" s="335">
        <v>0</v>
      </c>
      <c r="F64" s="335">
        <v>0</v>
      </c>
      <c r="G64" s="336">
        <v>0</v>
      </c>
      <c r="H64" s="337">
        <v>0</v>
      </c>
      <c r="I64" s="335">
        <v>0</v>
      </c>
      <c r="J64" s="336">
        <v>0</v>
      </c>
      <c r="K64" s="336">
        <v>0</v>
      </c>
      <c r="L64" s="336">
        <v>0</v>
      </c>
      <c r="M64" s="336">
        <v>0</v>
      </c>
      <c r="N64" s="336">
        <v>0</v>
      </c>
      <c r="O64" s="336">
        <v>0</v>
      </c>
      <c r="P64" s="336">
        <v>0</v>
      </c>
      <c r="Q64" s="337">
        <v>0</v>
      </c>
      <c r="R64" s="262">
        <f t="shared" si="41"/>
        <v>0</v>
      </c>
    </row>
    <row r="65" spans="2:18" s="66" customFormat="1" ht="15" x14ac:dyDescent="0.25">
      <c r="B65" s="81" t="s">
        <v>47</v>
      </c>
      <c r="C65" s="98"/>
      <c r="D65" s="99"/>
      <c r="E65" s="148">
        <f t="shared" ref="E65" si="42">E64-E63</f>
        <v>-50000</v>
      </c>
      <c r="F65" s="148">
        <f t="shared" ref="F65" si="43">F64-F63</f>
        <v>0</v>
      </c>
      <c r="G65" s="83">
        <f t="shared" ref="G65" si="44">G64-G63</f>
        <v>0</v>
      </c>
      <c r="H65" s="149">
        <f t="shared" ref="H65" si="45">H64-H63</f>
        <v>0</v>
      </c>
      <c r="I65" s="148">
        <f t="shared" ref="I65:J65" si="46">I64-I63</f>
        <v>0</v>
      </c>
      <c r="J65" s="83">
        <f t="shared" si="46"/>
        <v>0</v>
      </c>
      <c r="K65" s="83">
        <f>K64-K63</f>
        <v>-25000</v>
      </c>
      <c r="L65" s="83">
        <f t="shared" ref="L65:Q65" si="47">L64-L63</f>
        <v>0</v>
      </c>
      <c r="M65" s="83">
        <f t="shared" si="47"/>
        <v>0</v>
      </c>
      <c r="N65" s="83">
        <f t="shared" si="47"/>
        <v>0</v>
      </c>
      <c r="O65" s="83">
        <f t="shared" si="47"/>
        <v>0</v>
      </c>
      <c r="P65" s="83">
        <f t="shared" si="47"/>
        <v>0</v>
      </c>
      <c r="Q65" s="149">
        <f t="shared" si="47"/>
        <v>0</v>
      </c>
      <c r="R65" s="149">
        <f t="shared" ref="R65" si="48">R63-R64</f>
        <v>25000</v>
      </c>
    </row>
    <row r="66" spans="2:18" s="66" customFormat="1" ht="15" x14ac:dyDescent="0.25">
      <c r="B66" s="84"/>
      <c r="C66" s="72"/>
      <c r="D66" s="75"/>
      <c r="E66" s="150"/>
      <c r="F66" s="150"/>
      <c r="G66" s="78"/>
      <c r="H66" s="151"/>
      <c r="I66" s="255"/>
      <c r="J66" s="84"/>
      <c r="K66" s="84"/>
      <c r="L66" s="84"/>
      <c r="M66" s="84"/>
      <c r="N66" s="84"/>
      <c r="O66" s="84"/>
      <c r="P66" s="84"/>
      <c r="Q66" s="256"/>
      <c r="R66" s="262"/>
    </row>
    <row r="67" spans="2:18" s="66" customFormat="1" ht="15" x14ac:dyDescent="0.25">
      <c r="B67" s="73" t="s">
        <v>48</v>
      </c>
      <c r="D67" s="70"/>
      <c r="E67" s="146"/>
      <c r="F67" s="146"/>
      <c r="G67" s="79"/>
      <c r="H67" s="147"/>
      <c r="I67" s="122"/>
      <c r="J67" s="72"/>
      <c r="K67" s="72"/>
      <c r="L67" s="72"/>
      <c r="M67" s="72"/>
      <c r="N67" s="72"/>
      <c r="O67" s="72"/>
      <c r="P67" s="72"/>
      <c r="Q67" s="123"/>
      <c r="R67" s="262"/>
    </row>
    <row r="68" spans="2:18" s="66" customFormat="1" ht="15" x14ac:dyDescent="0.25">
      <c r="B68" s="66" t="s">
        <v>49</v>
      </c>
      <c r="D68" s="70"/>
      <c r="E68" s="335">
        <v>250000</v>
      </c>
      <c r="F68" s="369">
        <f>+F43-E43</f>
        <v>0</v>
      </c>
      <c r="G68" s="370">
        <f t="shared" ref="G68:Q68" si="49">+G43-F43</f>
        <v>0</v>
      </c>
      <c r="H68" s="371">
        <f t="shared" si="49"/>
        <v>0</v>
      </c>
      <c r="I68" s="369">
        <f t="shared" si="49"/>
        <v>0</v>
      </c>
      <c r="J68" s="370">
        <f t="shared" si="49"/>
        <v>-200000</v>
      </c>
      <c r="K68" s="370">
        <f t="shared" si="49"/>
        <v>0</v>
      </c>
      <c r="L68" s="370">
        <f t="shared" si="49"/>
        <v>0</v>
      </c>
      <c r="M68" s="370">
        <f t="shared" si="49"/>
        <v>0</v>
      </c>
      <c r="N68" s="370">
        <f t="shared" si="49"/>
        <v>0</v>
      </c>
      <c r="O68" s="370">
        <f t="shared" si="49"/>
        <v>0</v>
      </c>
      <c r="P68" s="370">
        <f t="shared" si="49"/>
        <v>0</v>
      </c>
      <c r="Q68" s="371">
        <f t="shared" si="49"/>
        <v>0</v>
      </c>
      <c r="R68" s="262">
        <f t="shared" ref="R68:R69" si="50">SUM(F68:Q68)</f>
        <v>-200000</v>
      </c>
    </row>
    <row r="69" spans="2:18" s="66" customFormat="1" ht="15" x14ac:dyDescent="0.25">
      <c r="B69" s="66" t="s">
        <v>50</v>
      </c>
      <c r="D69" s="70"/>
      <c r="E69" s="335">
        <v>0</v>
      </c>
      <c r="F69" s="369">
        <f>F45-E45</f>
        <v>0</v>
      </c>
      <c r="G69" s="370">
        <f t="shared" ref="G69:Q69" si="51">G45-F45</f>
        <v>0</v>
      </c>
      <c r="H69" s="371">
        <f t="shared" si="51"/>
        <v>0</v>
      </c>
      <c r="I69" s="369">
        <f t="shared" si="51"/>
        <v>0</v>
      </c>
      <c r="J69" s="370">
        <f t="shared" si="51"/>
        <v>0</v>
      </c>
      <c r="K69" s="370">
        <f t="shared" si="51"/>
        <v>0</v>
      </c>
      <c r="L69" s="370">
        <f t="shared" si="51"/>
        <v>0</v>
      </c>
      <c r="M69" s="370">
        <f t="shared" si="51"/>
        <v>0</v>
      </c>
      <c r="N69" s="370">
        <f t="shared" si="51"/>
        <v>0</v>
      </c>
      <c r="O69" s="370">
        <f t="shared" si="51"/>
        <v>0</v>
      </c>
      <c r="P69" s="370">
        <f t="shared" si="51"/>
        <v>0</v>
      </c>
      <c r="Q69" s="371">
        <f t="shared" si="51"/>
        <v>0</v>
      </c>
      <c r="R69" s="262">
        <f t="shared" si="50"/>
        <v>0</v>
      </c>
    </row>
    <row r="70" spans="2:18" s="66" customFormat="1" ht="15" x14ac:dyDescent="0.25">
      <c r="B70" s="81" t="s">
        <v>51</v>
      </c>
      <c r="C70" s="98"/>
      <c r="D70" s="99"/>
      <c r="E70" s="148">
        <f>SUM(E68:E69)</f>
        <v>250000</v>
      </c>
      <c r="F70" s="148">
        <f t="shared" ref="F70:H70" si="52">SUM(F68:F69)</f>
        <v>0</v>
      </c>
      <c r="G70" s="83">
        <f t="shared" si="52"/>
        <v>0</v>
      </c>
      <c r="H70" s="149">
        <f t="shared" si="52"/>
        <v>0</v>
      </c>
      <c r="I70" s="148">
        <f t="shared" ref="I70:R70" si="53">SUM(I68:I69)</f>
        <v>0</v>
      </c>
      <c r="J70" s="83">
        <f t="shared" si="53"/>
        <v>-200000</v>
      </c>
      <c r="K70" s="83">
        <f t="shared" si="53"/>
        <v>0</v>
      </c>
      <c r="L70" s="83">
        <f t="shared" si="53"/>
        <v>0</v>
      </c>
      <c r="M70" s="83">
        <f t="shared" si="53"/>
        <v>0</v>
      </c>
      <c r="N70" s="83">
        <f t="shared" si="53"/>
        <v>0</v>
      </c>
      <c r="O70" s="83">
        <f t="shared" si="53"/>
        <v>0</v>
      </c>
      <c r="P70" s="83">
        <f t="shared" si="53"/>
        <v>0</v>
      </c>
      <c r="Q70" s="149">
        <f t="shared" si="53"/>
        <v>0</v>
      </c>
      <c r="R70" s="149">
        <f t="shared" si="53"/>
        <v>-200000</v>
      </c>
    </row>
    <row r="71" spans="2:18" s="66" customFormat="1" ht="15" x14ac:dyDescent="0.25">
      <c r="B71" s="84"/>
      <c r="C71" s="72"/>
      <c r="D71" s="75"/>
      <c r="E71" s="150"/>
      <c r="F71" s="150"/>
      <c r="G71" s="78"/>
      <c r="H71" s="151"/>
      <c r="I71" s="255"/>
      <c r="J71" s="84"/>
      <c r="K71" s="84"/>
      <c r="L71" s="84"/>
      <c r="M71" s="84"/>
      <c r="N71" s="84"/>
      <c r="O71" s="84"/>
      <c r="P71" s="84"/>
      <c r="Q71" s="256"/>
      <c r="R71" s="262"/>
    </row>
    <row r="72" spans="2:18" s="66" customFormat="1" ht="15" x14ac:dyDescent="0.25">
      <c r="B72" s="66" t="s">
        <v>52</v>
      </c>
      <c r="D72" s="70"/>
      <c r="E72" s="154"/>
      <c r="F72" s="154">
        <f>F60+F65+F70</f>
        <v>19977.168949771512</v>
      </c>
      <c r="G72" s="100">
        <f t="shared" ref="G72:Q72" si="54">G60+G65+G70</f>
        <v>9532.4326014885009</v>
      </c>
      <c r="H72" s="155">
        <f t="shared" si="54"/>
        <v>346.7877582039946</v>
      </c>
      <c r="I72" s="154">
        <f t="shared" si="54"/>
        <v>-107731.54647383482</v>
      </c>
      <c r="J72" s="100">
        <f t="shared" si="54"/>
        <v>-173157.15652708703</v>
      </c>
      <c r="K72" s="100">
        <f t="shared" si="54"/>
        <v>-25375.393626757359</v>
      </c>
      <c r="L72" s="100">
        <f t="shared" si="54"/>
        <v>4226.2846134422143</v>
      </c>
      <c r="M72" s="100">
        <f t="shared" si="54"/>
        <v>8273.2399972873554</v>
      </c>
      <c r="N72" s="100">
        <f t="shared" si="54"/>
        <v>240685.08295130011</v>
      </c>
      <c r="O72" s="100">
        <f t="shared" si="54"/>
        <v>37100.703740994068</v>
      </c>
      <c r="P72" s="100">
        <f t="shared" si="54"/>
        <v>37184.715449189389</v>
      </c>
      <c r="Q72" s="155">
        <f t="shared" si="54"/>
        <v>181736.33944461626</v>
      </c>
      <c r="R72" s="262">
        <f t="shared" ref="R72:R73" si="55">SUM(F72:Q72)</f>
        <v>232798.65887861414</v>
      </c>
    </row>
    <row r="73" spans="2:18" s="66" customFormat="1" ht="15" x14ac:dyDescent="0.25">
      <c r="B73" s="66" t="s">
        <v>53</v>
      </c>
      <c r="D73" s="70"/>
      <c r="E73" s="122">
        <f>D74</f>
        <v>0</v>
      </c>
      <c r="F73" s="122">
        <f>+E74</f>
        <v>475000</v>
      </c>
      <c r="G73" s="72">
        <f t="shared" ref="G73:Q73" si="56">+F74</f>
        <v>494977.1689497715</v>
      </c>
      <c r="H73" s="123">
        <f t="shared" si="56"/>
        <v>504509.60155125998</v>
      </c>
      <c r="I73" s="122">
        <f t="shared" si="56"/>
        <v>504856.38930946396</v>
      </c>
      <c r="J73" s="72">
        <f t="shared" si="56"/>
        <v>397124.84283562913</v>
      </c>
      <c r="K73" s="72">
        <f t="shared" si="56"/>
        <v>223967.68630854209</v>
      </c>
      <c r="L73" s="72">
        <f t="shared" si="56"/>
        <v>198592.29268178472</v>
      </c>
      <c r="M73" s="72">
        <f t="shared" si="56"/>
        <v>202818.57729522692</v>
      </c>
      <c r="N73" s="72">
        <f t="shared" si="56"/>
        <v>211091.81729251429</v>
      </c>
      <c r="O73" s="72">
        <f t="shared" si="56"/>
        <v>451776.90024381439</v>
      </c>
      <c r="P73" s="72">
        <f t="shared" si="56"/>
        <v>488877.60398480843</v>
      </c>
      <c r="Q73" s="123">
        <f t="shared" si="56"/>
        <v>526062.31943399785</v>
      </c>
      <c r="R73" s="262">
        <f t="shared" si="55"/>
        <v>4679655.1998868138</v>
      </c>
    </row>
    <row r="74" spans="2:18" s="66" customFormat="1" ht="15" x14ac:dyDescent="0.25">
      <c r="B74" s="81" t="s">
        <v>54</v>
      </c>
      <c r="C74" s="98"/>
      <c r="D74" s="99"/>
      <c r="E74" s="148">
        <f>+E34</f>
        <v>475000</v>
      </c>
      <c r="F74" s="148">
        <f t="shared" ref="F74:H74" si="57">SUM(F72:F73)</f>
        <v>494977.1689497715</v>
      </c>
      <c r="G74" s="83">
        <f t="shared" si="57"/>
        <v>504509.60155125998</v>
      </c>
      <c r="H74" s="149">
        <f t="shared" si="57"/>
        <v>504856.38930946396</v>
      </c>
      <c r="I74" s="148">
        <f t="shared" ref="I74:R74" si="58">SUM(I72:I73)</f>
        <v>397124.84283562913</v>
      </c>
      <c r="J74" s="83">
        <f t="shared" si="58"/>
        <v>223967.68630854209</v>
      </c>
      <c r="K74" s="83">
        <f t="shared" si="58"/>
        <v>198592.29268178472</v>
      </c>
      <c r="L74" s="83">
        <f t="shared" si="58"/>
        <v>202818.57729522692</v>
      </c>
      <c r="M74" s="83">
        <f t="shared" si="58"/>
        <v>211091.81729251429</v>
      </c>
      <c r="N74" s="83">
        <f t="shared" si="58"/>
        <v>451776.90024381439</v>
      </c>
      <c r="O74" s="83">
        <f t="shared" si="58"/>
        <v>488877.60398480843</v>
      </c>
      <c r="P74" s="83">
        <f t="shared" si="58"/>
        <v>526062.31943399785</v>
      </c>
      <c r="Q74" s="149">
        <f t="shared" si="58"/>
        <v>707798.65887861408</v>
      </c>
      <c r="R74" s="149">
        <f t="shared" si="58"/>
        <v>4912453.858765428</v>
      </c>
    </row>
    <row r="75" spans="2:18" s="66" customFormat="1" ht="15" x14ac:dyDescent="0.25">
      <c r="B75" s="73"/>
      <c r="D75" s="70"/>
      <c r="E75" s="150"/>
      <c r="F75" s="146"/>
      <c r="G75" s="79"/>
      <c r="H75" s="147"/>
      <c r="I75" s="122"/>
      <c r="J75" s="72"/>
      <c r="K75" s="72"/>
      <c r="L75" s="72"/>
      <c r="M75" s="72"/>
      <c r="N75" s="72"/>
      <c r="O75" s="72"/>
      <c r="P75" s="72"/>
      <c r="Q75" s="123"/>
      <c r="R75" s="262"/>
    </row>
    <row r="76" spans="2:18" s="66" customFormat="1" ht="15" x14ac:dyDescent="0.25">
      <c r="B76" s="93" t="s">
        <v>39</v>
      </c>
      <c r="C76" s="94"/>
      <c r="D76" s="95"/>
      <c r="E76" s="158">
        <f t="shared" ref="E76:Q76" si="59">E74-E34</f>
        <v>0</v>
      </c>
      <c r="F76" s="158">
        <f t="shared" si="59"/>
        <v>0</v>
      </c>
      <c r="G76" s="96">
        <f t="shared" si="59"/>
        <v>0</v>
      </c>
      <c r="H76" s="159">
        <f t="shared" si="59"/>
        <v>0</v>
      </c>
      <c r="I76" s="158">
        <f t="shared" si="59"/>
        <v>0</v>
      </c>
      <c r="J76" s="96">
        <f t="shared" si="59"/>
        <v>0</v>
      </c>
      <c r="K76" s="96">
        <f t="shared" si="59"/>
        <v>0</v>
      </c>
      <c r="L76" s="96">
        <f t="shared" si="59"/>
        <v>0</v>
      </c>
      <c r="M76" s="96">
        <f t="shared" si="59"/>
        <v>0</v>
      </c>
      <c r="N76" s="96">
        <f t="shared" si="59"/>
        <v>0</v>
      </c>
      <c r="O76" s="96">
        <f t="shared" si="59"/>
        <v>0</v>
      </c>
      <c r="P76" s="96">
        <f t="shared" si="59"/>
        <v>0</v>
      </c>
      <c r="Q76" s="159">
        <f t="shared" si="59"/>
        <v>0</v>
      </c>
      <c r="R76" s="262"/>
    </row>
    <row r="77" spans="2:18" s="66" customFormat="1" ht="15" x14ac:dyDescent="0.25">
      <c r="B77" s="73"/>
      <c r="D77" s="70"/>
      <c r="E77" s="150"/>
      <c r="F77" s="146"/>
      <c r="G77" s="79"/>
      <c r="H77" s="147"/>
      <c r="I77" s="122"/>
      <c r="J77" s="72"/>
      <c r="K77" s="72"/>
      <c r="L77" s="72"/>
      <c r="M77" s="72"/>
      <c r="N77" s="72"/>
      <c r="O77" s="72"/>
      <c r="P77" s="72"/>
      <c r="Q77" s="123"/>
      <c r="R77" s="262"/>
    </row>
    <row r="78" spans="2:18" s="66" customFormat="1" ht="15" x14ac:dyDescent="0.25">
      <c r="D78" s="70"/>
      <c r="E78" s="146"/>
      <c r="F78" s="146"/>
      <c r="G78" s="79"/>
      <c r="H78" s="147"/>
      <c r="I78" s="122"/>
      <c r="J78" s="72"/>
      <c r="K78" s="72"/>
      <c r="L78" s="72"/>
      <c r="M78" s="72"/>
      <c r="N78" s="72"/>
      <c r="O78" s="72"/>
      <c r="P78" s="72"/>
      <c r="Q78" s="123"/>
      <c r="R78" s="262"/>
    </row>
    <row r="79" spans="2:18" s="66" customFormat="1" ht="21" thickBot="1" x14ac:dyDescent="0.4">
      <c r="B79" s="103" t="s">
        <v>55</v>
      </c>
      <c r="C79" s="103"/>
      <c r="D79" s="103"/>
      <c r="E79" s="142"/>
      <c r="F79" s="142"/>
      <c r="G79" s="103"/>
      <c r="H79" s="143"/>
      <c r="I79" s="142"/>
      <c r="J79" s="103"/>
      <c r="K79" s="103"/>
      <c r="L79" s="103"/>
      <c r="M79" s="103"/>
      <c r="N79" s="103"/>
      <c r="O79" s="103"/>
      <c r="P79" s="103"/>
      <c r="Q79" s="143"/>
      <c r="R79" s="258"/>
    </row>
    <row r="80" spans="2:18" s="66" customFormat="1" ht="15" x14ac:dyDescent="0.25">
      <c r="B80" s="73" t="s">
        <v>56</v>
      </c>
      <c r="D80" s="70"/>
      <c r="E80" s="122"/>
      <c r="F80" s="162"/>
      <c r="G80" s="126"/>
      <c r="H80" s="163"/>
      <c r="I80" s="122"/>
      <c r="J80" s="72"/>
      <c r="K80" s="72"/>
      <c r="L80" s="72"/>
      <c r="M80" s="72"/>
      <c r="N80" s="72"/>
      <c r="O80" s="72"/>
      <c r="P80" s="72"/>
      <c r="Q80" s="123"/>
      <c r="R80" s="262"/>
    </row>
    <row r="81" spans="1:18" s="66" customFormat="1" ht="15" x14ac:dyDescent="0.25">
      <c r="B81" s="66" t="s">
        <v>27</v>
      </c>
      <c r="D81" s="70"/>
      <c r="E81" s="154">
        <f t="shared" ref="E81:Q81" si="60">+E35</f>
        <v>1500000</v>
      </c>
      <c r="F81" s="154">
        <f t="shared" si="60"/>
        <v>1413356.1643835618</v>
      </c>
      <c r="G81" s="100">
        <f t="shared" si="60"/>
        <v>1337157.0651154066</v>
      </c>
      <c r="H81" s="155">
        <f t="shared" si="60"/>
        <v>1270143.6106905357</v>
      </c>
      <c r="I81" s="154">
        <f t="shared" si="60"/>
        <v>1211208.4904977041</v>
      </c>
      <c r="J81" s="100">
        <f t="shared" si="60"/>
        <v>1222163.2660724102</v>
      </c>
      <c r="K81" s="100">
        <f t="shared" si="60"/>
        <v>1260336.2787467863</v>
      </c>
      <c r="L81" s="100">
        <f t="shared" si="60"/>
        <v>1293907.6131809636</v>
      </c>
      <c r="M81" s="100">
        <f t="shared" si="60"/>
        <v>1323431.992231295</v>
      </c>
      <c r="N81" s="100">
        <f t="shared" si="60"/>
        <v>1533044.5283276138</v>
      </c>
      <c r="O81" s="100">
        <f t="shared" si="60"/>
        <v>1533741.4436342393</v>
      </c>
      <c r="P81" s="100">
        <f t="shared" si="60"/>
        <v>1534354.3472326689</v>
      </c>
      <c r="Q81" s="155">
        <f t="shared" si="60"/>
        <v>1650832.293502338</v>
      </c>
      <c r="R81" s="262"/>
    </row>
    <row r="82" spans="1:18" s="66" customFormat="1" ht="15" x14ac:dyDescent="0.25">
      <c r="B82" s="66" t="s">
        <v>28</v>
      </c>
      <c r="D82" s="70"/>
      <c r="E82" s="154">
        <f t="shared" ref="E82:Q82" si="61">+E36</f>
        <v>2500000</v>
      </c>
      <c r="F82" s="154">
        <f t="shared" si="61"/>
        <v>2500000</v>
      </c>
      <c r="G82" s="100">
        <f t="shared" si="61"/>
        <v>2500000</v>
      </c>
      <c r="H82" s="155">
        <f t="shared" si="61"/>
        <v>2500000</v>
      </c>
      <c r="I82" s="154">
        <f t="shared" si="61"/>
        <v>2500000</v>
      </c>
      <c r="J82" s="100">
        <f t="shared" si="61"/>
        <v>2500000</v>
      </c>
      <c r="K82" s="100">
        <f t="shared" si="61"/>
        <v>2500000</v>
      </c>
      <c r="L82" s="100">
        <f t="shared" si="61"/>
        <v>2500000</v>
      </c>
      <c r="M82" s="100">
        <f t="shared" si="61"/>
        <v>2500000</v>
      </c>
      <c r="N82" s="100">
        <f t="shared" si="61"/>
        <v>2500000</v>
      </c>
      <c r="O82" s="100">
        <f t="shared" si="61"/>
        <v>2500000</v>
      </c>
      <c r="P82" s="100">
        <f t="shared" si="61"/>
        <v>2500000</v>
      </c>
      <c r="Q82" s="155">
        <f t="shared" si="61"/>
        <v>2500000</v>
      </c>
      <c r="R82" s="262"/>
    </row>
    <row r="83" spans="1:18" s="66" customFormat="1" ht="15" x14ac:dyDescent="0.25">
      <c r="B83" s="66" t="s">
        <v>32</v>
      </c>
      <c r="D83" s="70"/>
      <c r="E83" s="154">
        <f t="shared" ref="E83:Q83" si="62">+E41</f>
        <v>800000</v>
      </c>
      <c r="F83" s="154">
        <f t="shared" si="62"/>
        <v>800000</v>
      </c>
      <c r="G83" s="100">
        <f t="shared" si="62"/>
        <v>800000</v>
      </c>
      <c r="H83" s="155">
        <f t="shared" si="62"/>
        <v>800000</v>
      </c>
      <c r="I83" s="154">
        <f t="shared" si="62"/>
        <v>800000</v>
      </c>
      <c r="J83" s="100">
        <f t="shared" si="62"/>
        <v>800000</v>
      </c>
      <c r="K83" s="100">
        <f t="shared" si="62"/>
        <v>800000</v>
      </c>
      <c r="L83" s="100">
        <f t="shared" si="62"/>
        <v>800000</v>
      </c>
      <c r="M83" s="100">
        <f t="shared" si="62"/>
        <v>800000</v>
      </c>
      <c r="N83" s="100">
        <f t="shared" si="62"/>
        <v>800000</v>
      </c>
      <c r="O83" s="100">
        <f t="shared" si="62"/>
        <v>800000</v>
      </c>
      <c r="P83" s="100">
        <f t="shared" si="62"/>
        <v>800000</v>
      </c>
      <c r="Q83" s="155">
        <f t="shared" si="62"/>
        <v>800000</v>
      </c>
      <c r="R83" s="262"/>
    </row>
    <row r="84" spans="1:18" s="66" customFormat="1" ht="15" x14ac:dyDescent="0.25">
      <c r="B84" s="98" t="s">
        <v>57</v>
      </c>
      <c r="C84" s="98"/>
      <c r="D84" s="99"/>
      <c r="E84" s="164">
        <f t="shared" ref="E84:Q84" si="63">+E81+E82-E83</f>
        <v>3200000</v>
      </c>
      <c r="F84" s="164">
        <f t="shared" si="63"/>
        <v>3113356.1643835618</v>
      </c>
      <c r="G84" s="101">
        <f t="shared" si="63"/>
        <v>3037157.0651154066</v>
      </c>
      <c r="H84" s="165">
        <f t="shared" si="63"/>
        <v>2970143.610690536</v>
      </c>
      <c r="I84" s="164">
        <f t="shared" si="63"/>
        <v>2911208.4904977041</v>
      </c>
      <c r="J84" s="101">
        <f t="shared" si="63"/>
        <v>2922163.2660724102</v>
      </c>
      <c r="K84" s="101">
        <f t="shared" si="63"/>
        <v>2960336.2787467865</v>
      </c>
      <c r="L84" s="101">
        <f t="shared" si="63"/>
        <v>2993907.6131809633</v>
      </c>
      <c r="M84" s="101">
        <f t="shared" si="63"/>
        <v>3023431.992231295</v>
      </c>
      <c r="N84" s="101">
        <f t="shared" si="63"/>
        <v>3233044.5283276141</v>
      </c>
      <c r="O84" s="101">
        <f t="shared" si="63"/>
        <v>3233741.443634239</v>
      </c>
      <c r="P84" s="101">
        <f t="shared" si="63"/>
        <v>3234354.3472326687</v>
      </c>
      <c r="Q84" s="165">
        <f t="shared" si="63"/>
        <v>3350832.2935023382</v>
      </c>
      <c r="R84" s="262"/>
    </row>
    <row r="85" spans="1:18" s="66" customFormat="1" ht="15" x14ac:dyDescent="0.25">
      <c r="B85" s="66" t="s">
        <v>58</v>
      </c>
      <c r="D85" s="70"/>
      <c r="E85" s="154"/>
      <c r="F85" s="154">
        <f>+E84-F84</f>
        <v>86643.835616438184</v>
      </c>
      <c r="G85" s="100">
        <f t="shared" ref="G85:Q85" si="64">+F84-G84</f>
        <v>76199.099268155172</v>
      </c>
      <c r="H85" s="155">
        <f t="shared" si="64"/>
        <v>67013.454424870666</v>
      </c>
      <c r="I85" s="154">
        <f t="shared" si="64"/>
        <v>58935.120192831848</v>
      </c>
      <c r="J85" s="100">
        <f t="shared" si="64"/>
        <v>-10954.775574706029</v>
      </c>
      <c r="K85" s="100">
        <f t="shared" si="64"/>
        <v>-38173.012674376369</v>
      </c>
      <c r="L85" s="100">
        <f t="shared" si="64"/>
        <v>-33571.334434176795</v>
      </c>
      <c r="M85" s="100">
        <f t="shared" si="64"/>
        <v>-29524.379050331656</v>
      </c>
      <c r="N85" s="100">
        <f t="shared" si="64"/>
        <v>-209612.53609631909</v>
      </c>
      <c r="O85" s="100">
        <f t="shared" si="64"/>
        <v>-696.91530662495643</v>
      </c>
      <c r="P85" s="100">
        <f t="shared" si="64"/>
        <v>-612.90359842963517</v>
      </c>
      <c r="Q85" s="155">
        <f t="shared" si="64"/>
        <v>-116477.94626966957</v>
      </c>
      <c r="R85" s="262"/>
    </row>
    <row r="86" spans="1:18" s="66" customFormat="1" ht="15" x14ac:dyDescent="0.25">
      <c r="D86" s="70"/>
      <c r="E86" s="146"/>
      <c r="F86" s="146"/>
      <c r="G86" s="79"/>
      <c r="H86" s="147"/>
      <c r="I86" s="122"/>
      <c r="J86" s="72"/>
      <c r="K86" s="72"/>
      <c r="L86" s="72"/>
      <c r="M86" s="72"/>
      <c r="N86" s="72"/>
      <c r="O86" s="72"/>
      <c r="P86" s="72"/>
      <c r="Q86" s="123"/>
      <c r="R86" s="262"/>
    </row>
    <row r="87" spans="1:18" s="66" customFormat="1" ht="15" x14ac:dyDescent="0.25">
      <c r="B87" s="73" t="s">
        <v>59</v>
      </c>
      <c r="D87" s="70"/>
      <c r="E87" s="146"/>
      <c r="F87" s="146"/>
      <c r="G87" s="79"/>
      <c r="H87" s="147"/>
      <c r="I87" s="122"/>
      <c r="J87" s="72"/>
      <c r="K87" s="72"/>
      <c r="L87" s="72"/>
      <c r="M87" s="72"/>
      <c r="N87" s="72"/>
      <c r="O87" s="72"/>
      <c r="P87" s="72"/>
      <c r="Q87" s="123"/>
      <c r="R87" s="262"/>
    </row>
    <row r="88" spans="1:18" s="66" customFormat="1" ht="15" x14ac:dyDescent="0.25">
      <c r="B88" s="66" t="s">
        <v>60</v>
      </c>
      <c r="D88" s="70"/>
      <c r="E88" s="154">
        <f>+E91+E90-E89</f>
        <v>1100000</v>
      </c>
      <c r="F88" s="154">
        <f>+E91</f>
        <v>1000000</v>
      </c>
      <c r="G88" s="100">
        <f t="shared" ref="G88:Q88" si="65">+F91</f>
        <v>987500</v>
      </c>
      <c r="H88" s="155">
        <f t="shared" si="65"/>
        <v>975000</v>
      </c>
      <c r="I88" s="154">
        <f t="shared" si="65"/>
        <v>962500</v>
      </c>
      <c r="J88" s="100">
        <f t="shared" si="65"/>
        <v>950000</v>
      </c>
      <c r="K88" s="100">
        <f t="shared" si="65"/>
        <v>936979.16666666663</v>
      </c>
      <c r="L88" s="100">
        <f t="shared" si="65"/>
        <v>948958.33333333326</v>
      </c>
      <c r="M88" s="100">
        <f t="shared" si="65"/>
        <v>935937.49999999988</v>
      </c>
      <c r="N88" s="100">
        <f t="shared" si="65"/>
        <v>922916.66666666651</v>
      </c>
      <c r="O88" s="100">
        <f t="shared" si="65"/>
        <v>909895.83333333314</v>
      </c>
      <c r="P88" s="100">
        <f t="shared" si="65"/>
        <v>896874.99999999977</v>
      </c>
      <c r="Q88" s="155">
        <f t="shared" si="65"/>
        <v>883854.1666666664</v>
      </c>
      <c r="R88" s="262"/>
    </row>
    <row r="89" spans="1:18" s="66" customFormat="1" ht="15" x14ac:dyDescent="0.25">
      <c r="B89" s="66" t="s">
        <v>61</v>
      </c>
      <c r="D89" s="70"/>
      <c r="E89" s="154">
        <f t="shared" ref="E89:Q89" si="66">+E63</f>
        <v>50000</v>
      </c>
      <c r="F89" s="154">
        <f t="shared" si="66"/>
        <v>0</v>
      </c>
      <c r="G89" s="100">
        <f t="shared" si="66"/>
        <v>0</v>
      </c>
      <c r="H89" s="155">
        <f t="shared" si="66"/>
        <v>0</v>
      </c>
      <c r="I89" s="154">
        <f t="shared" si="66"/>
        <v>0</v>
      </c>
      <c r="J89" s="100">
        <f t="shared" si="66"/>
        <v>0</v>
      </c>
      <c r="K89" s="100">
        <f t="shared" si="66"/>
        <v>25000</v>
      </c>
      <c r="L89" s="100">
        <f t="shared" si="66"/>
        <v>0</v>
      </c>
      <c r="M89" s="100">
        <f t="shared" si="66"/>
        <v>0</v>
      </c>
      <c r="N89" s="100">
        <f t="shared" si="66"/>
        <v>0</v>
      </c>
      <c r="O89" s="100">
        <f t="shared" si="66"/>
        <v>0</v>
      </c>
      <c r="P89" s="100">
        <f t="shared" si="66"/>
        <v>0</v>
      </c>
      <c r="Q89" s="155">
        <f t="shared" si="66"/>
        <v>0</v>
      </c>
      <c r="R89" s="262"/>
    </row>
    <row r="90" spans="1:18" s="66" customFormat="1" ht="15" x14ac:dyDescent="0.25">
      <c r="B90" s="66" t="s">
        <v>62</v>
      </c>
      <c r="D90" s="67"/>
      <c r="E90" s="154">
        <f t="shared" ref="E90:Q90" si="67">+E23</f>
        <v>150000</v>
      </c>
      <c r="F90" s="154">
        <f t="shared" si="67"/>
        <v>12500</v>
      </c>
      <c r="G90" s="100">
        <f t="shared" si="67"/>
        <v>12500</v>
      </c>
      <c r="H90" s="155">
        <f t="shared" si="67"/>
        <v>12500</v>
      </c>
      <c r="I90" s="154">
        <f t="shared" si="67"/>
        <v>12500</v>
      </c>
      <c r="J90" s="100">
        <f t="shared" si="67"/>
        <v>13020.833333333334</v>
      </c>
      <c r="K90" s="100">
        <f t="shared" si="67"/>
        <v>13020.833333333334</v>
      </c>
      <c r="L90" s="100">
        <f t="shared" si="67"/>
        <v>13020.833333333334</v>
      </c>
      <c r="M90" s="100">
        <f t="shared" si="67"/>
        <v>13020.833333333334</v>
      </c>
      <c r="N90" s="100">
        <f t="shared" si="67"/>
        <v>13020.833333333334</v>
      </c>
      <c r="O90" s="100">
        <f t="shared" si="67"/>
        <v>13020.833333333334</v>
      </c>
      <c r="P90" s="100">
        <f t="shared" si="67"/>
        <v>13020.833333333334</v>
      </c>
      <c r="Q90" s="155">
        <f t="shared" si="67"/>
        <v>13020.833333333334</v>
      </c>
      <c r="R90" s="262"/>
    </row>
    <row r="91" spans="1:18" s="66" customFormat="1" ht="15" x14ac:dyDescent="0.25">
      <c r="B91" s="98" t="s">
        <v>63</v>
      </c>
      <c r="C91" s="98"/>
      <c r="D91" s="99"/>
      <c r="E91" s="164">
        <f>+E37</f>
        <v>1000000</v>
      </c>
      <c r="F91" s="164">
        <f t="shared" ref="F91:H91" si="68">F88+F89-F90</f>
        <v>987500</v>
      </c>
      <c r="G91" s="101">
        <f t="shared" si="68"/>
        <v>975000</v>
      </c>
      <c r="H91" s="165">
        <f t="shared" si="68"/>
        <v>962500</v>
      </c>
      <c r="I91" s="164">
        <f t="shared" ref="I91:Q91" si="69">I88+I89-I90</f>
        <v>950000</v>
      </c>
      <c r="J91" s="101">
        <f t="shared" si="69"/>
        <v>936979.16666666663</v>
      </c>
      <c r="K91" s="101">
        <f t="shared" si="69"/>
        <v>948958.33333333326</v>
      </c>
      <c r="L91" s="101">
        <f t="shared" si="69"/>
        <v>935937.49999999988</v>
      </c>
      <c r="M91" s="101">
        <f t="shared" si="69"/>
        <v>922916.66666666651</v>
      </c>
      <c r="N91" s="101">
        <f t="shared" si="69"/>
        <v>909895.83333333314</v>
      </c>
      <c r="O91" s="101">
        <f t="shared" si="69"/>
        <v>896874.99999999977</v>
      </c>
      <c r="P91" s="101">
        <f t="shared" si="69"/>
        <v>883854.1666666664</v>
      </c>
      <c r="Q91" s="165">
        <f t="shared" si="69"/>
        <v>870833.33333333302</v>
      </c>
      <c r="R91" s="262"/>
    </row>
    <row r="92" spans="1:18" s="66" customFormat="1" ht="15" x14ac:dyDescent="0.25">
      <c r="D92" s="70"/>
      <c r="E92" s="146"/>
      <c r="F92" s="146"/>
      <c r="G92" s="79"/>
      <c r="H92" s="147"/>
      <c r="I92" s="146"/>
      <c r="J92" s="79"/>
      <c r="K92" s="79"/>
      <c r="L92" s="79"/>
      <c r="M92" s="79"/>
      <c r="N92" s="79"/>
      <c r="O92" s="79"/>
      <c r="P92" s="79"/>
      <c r="Q92" s="147"/>
      <c r="R92" s="262"/>
    </row>
    <row r="93" spans="1:18" s="66" customFormat="1" ht="15" x14ac:dyDescent="0.25">
      <c r="B93" s="73" t="s">
        <v>64</v>
      </c>
      <c r="D93" s="70"/>
      <c r="E93" s="146"/>
      <c r="F93" s="146"/>
      <c r="G93" s="79"/>
      <c r="H93" s="147"/>
      <c r="I93" s="122"/>
      <c r="J93" s="72"/>
      <c r="K93" s="72"/>
      <c r="L93" s="72"/>
      <c r="M93" s="72"/>
      <c r="N93" s="72"/>
      <c r="O93" s="72"/>
      <c r="P93" s="72"/>
      <c r="Q93" s="123"/>
      <c r="R93" s="262"/>
    </row>
    <row r="94" spans="1:18" s="66" customFormat="1" ht="15" x14ac:dyDescent="0.25">
      <c r="B94" s="66" t="s">
        <v>65</v>
      </c>
      <c r="D94" s="70"/>
      <c r="E94" s="122">
        <f>+E96-E95</f>
        <v>2550000</v>
      </c>
      <c r="F94" s="122">
        <f>+E96</f>
        <v>2800000</v>
      </c>
      <c r="G94" s="72">
        <f t="shared" ref="G94:Q94" si="70">+F96</f>
        <v>2800000</v>
      </c>
      <c r="H94" s="123">
        <f t="shared" si="70"/>
        <v>2800000</v>
      </c>
      <c r="I94" s="122">
        <f t="shared" si="70"/>
        <v>2800000</v>
      </c>
      <c r="J94" s="72">
        <f t="shared" si="70"/>
        <v>2800000</v>
      </c>
      <c r="K94" s="72">
        <f t="shared" si="70"/>
        <v>2600000</v>
      </c>
      <c r="L94" s="72">
        <f t="shared" si="70"/>
        <v>2600000</v>
      </c>
      <c r="M94" s="72">
        <f t="shared" si="70"/>
        <v>2600000</v>
      </c>
      <c r="N94" s="72">
        <f t="shared" si="70"/>
        <v>2600000</v>
      </c>
      <c r="O94" s="72">
        <f t="shared" si="70"/>
        <v>2600000</v>
      </c>
      <c r="P94" s="72">
        <f t="shared" si="70"/>
        <v>2600000</v>
      </c>
      <c r="Q94" s="123">
        <f t="shared" si="70"/>
        <v>2600000</v>
      </c>
      <c r="R94" s="262"/>
    </row>
    <row r="95" spans="1:18" ht="15" x14ac:dyDescent="0.25">
      <c r="A95" s="66"/>
      <c r="B95" s="66" t="s">
        <v>66</v>
      </c>
      <c r="C95" s="66"/>
      <c r="D95" s="70"/>
      <c r="E95" s="122">
        <f t="shared" ref="E95:Q95" si="71">+E68</f>
        <v>250000</v>
      </c>
      <c r="F95" s="122">
        <f t="shared" si="71"/>
        <v>0</v>
      </c>
      <c r="G95" s="72">
        <f t="shared" si="71"/>
        <v>0</v>
      </c>
      <c r="H95" s="123">
        <f t="shared" si="71"/>
        <v>0</v>
      </c>
      <c r="I95" s="122">
        <f t="shared" si="71"/>
        <v>0</v>
      </c>
      <c r="J95" s="72">
        <f t="shared" si="71"/>
        <v>-200000</v>
      </c>
      <c r="K95" s="72">
        <f t="shared" si="71"/>
        <v>0</v>
      </c>
      <c r="L95" s="72">
        <f t="shared" si="71"/>
        <v>0</v>
      </c>
      <c r="M95" s="72">
        <f t="shared" si="71"/>
        <v>0</v>
      </c>
      <c r="N95" s="72">
        <f t="shared" si="71"/>
        <v>0</v>
      </c>
      <c r="O95" s="72">
        <f t="shared" si="71"/>
        <v>0</v>
      </c>
      <c r="P95" s="72">
        <f t="shared" si="71"/>
        <v>0</v>
      </c>
      <c r="Q95" s="123">
        <f t="shared" si="71"/>
        <v>0</v>
      </c>
      <c r="R95" s="257"/>
    </row>
    <row r="96" spans="1:18" ht="15" x14ac:dyDescent="0.25">
      <c r="A96" s="66"/>
      <c r="B96" s="98" t="s">
        <v>67</v>
      </c>
      <c r="C96" s="98"/>
      <c r="D96" s="99"/>
      <c r="E96" s="120">
        <f t="shared" ref="E96:Q96" si="72">+E43</f>
        <v>2800000</v>
      </c>
      <c r="F96" s="120">
        <f t="shared" si="72"/>
        <v>2800000</v>
      </c>
      <c r="G96" s="98">
        <f t="shared" si="72"/>
        <v>2800000</v>
      </c>
      <c r="H96" s="121">
        <f t="shared" si="72"/>
        <v>2800000</v>
      </c>
      <c r="I96" s="120">
        <f t="shared" si="72"/>
        <v>2800000</v>
      </c>
      <c r="J96" s="98">
        <f t="shared" si="72"/>
        <v>2600000</v>
      </c>
      <c r="K96" s="98">
        <f t="shared" si="72"/>
        <v>2600000</v>
      </c>
      <c r="L96" s="98">
        <f t="shared" si="72"/>
        <v>2600000</v>
      </c>
      <c r="M96" s="98">
        <f t="shared" si="72"/>
        <v>2600000</v>
      </c>
      <c r="N96" s="98">
        <f t="shared" si="72"/>
        <v>2600000</v>
      </c>
      <c r="O96" s="98">
        <f t="shared" si="72"/>
        <v>2600000</v>
      </c>
      <c r="P96" s="98">
        <f t="shared" si="72"/>
        <v>2600000</v>
      </c>
      <c r="Q96" s="121">
        <f t="shared" si="72"/>
        <v>2600000</v>
      </c>
      <c r="R96" s="257"/>
    </row>
    <row r="97" spans="1:18" ht="15" x14ac:dyDescent="0.25">
      <c r="A97" s="66"/>
      <c r="B97" s="66" t="s">
        <v>68</v>
      </c>
      <c r="C97" s="66"/>
      <c r="E97" s="124">
        <f t="shared" ref="E97:Q97" si="73">+E26</f>
        <v>50000</v>
      </c>
      <c r="F97" s="124">
        <f t="shared" si="73"/>
        <v>4166.666666666667</v>
      </c>
      <c r="G97" s="86">
        <f t="shared" si="73"/>
        <v>4166.666666666667</v>
      </c>
      <c r="H97" s="125">
        <f t="shared" si="73"/>
        <v>4166.666666666667</v>
      </c>
      <c r="I97" s="124">
        <f t="shared" si="73"/>
        <v>4166.666666666667</v>
      </c>
      <c r="J97" s="86">
        <f t="shared" si="73"/>
        <v>3869.0476190476193</v>
      </c>
      <c r="K97" s="86">
        <f t="shared" si="73"/>
        <v>3869.0476190476193</v>
      </c>
      <c r="L97" s="86">
        <f t="shared" si="73"/>
        <v>3869.0476190476193</v>
      </c>
      <c r="M97" s="86">
        <f t="shared" si="73"/>
        <v>3869.0476190476193</v>
      </c>
      <c r="N97" s="86">
        <f t="shared" si="73"/>
        <v>3869.0476190476193</v>
      </c>
      <c r="O97" s="86">
        <f t="shared" si="73"/>
        <v>3869.0476190476193</v>
      </c>
      <c r="P97" s="86">
        <f t="shared" si="73"/>
        <v>3869.0476190476193</v>
      </c>
      <c r="Q97" s="125">
        <f t="shared" si="73"/>
        <v>3869.0476190476193</v>
      </c>
      <c r="R97" s="264"/>
    </row>
    <row r="98" spans="1:18" x14ac:dyDescent="0.25"/>
    <row r="99" spans="1:18" x14ac:dyDescent="0.25"/>
    <row r="100" spans="1:18" x14ac:dyDescent="0.25"/>
    <row r="101" spans="1:18" ht="21" thickBot="1" x14ac:dyDescent="0.4">
      <c r="B101" s="103" t="s">
        <v>149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</row>
    <row r="102" spans="1:18" ht="15" x14ac:dyDescent="0.25">
      <c r="B102" s="73" t="s">
        <v>2</v>
      </c>
      <c r="C102" s="68"/>
      <c r="D102" s="17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8" ht="15" x14ac:dyDescent="0.25">
      <c r="B103" s="66" t="s">
        <v>193</v>
      </c>
      <c r="C103" s="68"/>
      <c r="D103" s="178"/>
      <c r="E103" s="185">
        <f t="shared" ref="E103:Q103" si="74">E22/E13</f>
        <v>0.04</v>
      </c>
      <c r="F103" s="185">
        <f t="shared" si="74"/>
        <v>-0.08</v>
      </c>
      <c r="G103" s="185">
        <f t="shared" si="74"/>
        <v>-0.08</v>
      </c>
      <c r="H103" s="185">
        <f t="shared" si="74"/>
        <v>-0.08</v>
      </c>
      <c r="I103" s="185">
        <f t="shared" si="74"/>
        <v>-0.08</v>
      </c>
      <c r="J103" s="185">
        <f t="shared" si="74"/>
        <v>3.9999999999999966E-2</v>
      </c>
      <c r="K103" s="185">
        <f t="shared" si="74"/>
        <v>3.9999999999999966E-2</v>
      </c>
      <c r="L103" s="185">
        <f t="shared" si="74"/>
        <v>3.9999999999999966E-2</v>
      </c>
      <c r="M103" s="185">
        <f t="shared" si="74"/>
        <v>3.9999999999999966E-2</v>
      </c>
      <c r="N103" s="185">
        <f t="shared" si="74"/>
        <v>0.21909547738693472</v>
      </c>
      <c r="O103" s="185">
        <f t="shared" si="74"/>
        <v>3.9999999999999966E-2</v>
      </c>
      <c r="P103" s="185">
        <f t="shared" si="74"/>
        <v>3.9999999999999966E-2</v>
      </c>
      <c r="Q103" s="185">
        <f t="shared" si="74"/>
        <v>0.17846153846153853</v>
      </c>
    </row>
    <row r="104" spans="1:18" ht="15" x14ac:dyDescent="0.25">
      <c r="B104" s="66" t="s">
        <v>3</v>
      </c>
      <c r="C104" s="73"/>
      <c r="D104" s="74"/>
      <c r="E104" s="179"/>
      <c r="F104" s="180"/>
      <c r="G104" s="180">
        <f t="shared" ref="G104:Q104" si="75">+G13/F13-1</f>
        <v>0</v>
      </c>
      <c r="H104" s="180">
        <f t="shared" si="75"/>
        <v>0</v>
      </c>
      <c r="I104" s="180">
        <f t="shared" si="75"/>
        <v>0</v>
      </c>
      <c r="J104" s="180">
        <f t="shared" si="75"/>
        <v>0.33333333333333326</v>
      </c>
      <c r="K104" s="180">
        <f t="shared" si="75"/>
        <v>0</v>
      </c>
      <c r="L104" s="180">
        <f t="shared" si="75"/>
        <v>0</v>
      </c>
      <c r="M104" s="180">
        <f t="shared" si="75"/>
        <v>0</v>
      </c>
      <c r="N104" s="180">
        <f t="shared" si="75"/>
        <v>0.99000000000000021</v>
      </c>
      <c r="O104" s="180">
        <f t="shared" si="75"/>
        <v>-0.49748743718592969</v>
      </c>
      <c r="P104" s="180">
        <f t="shared" si="75"/>
        <v>0</v>
      </c>
      <c r="Q104" s="180">
        <f t="shared" si="75"/>
        <v>0.625</v>
      </c>
    </row>
    <row r="105" spans="1:18" ht="15" x14ac:dyDescent="0.25">
      <c r="B105" s="72" t="s">
        <v>4</v>
      </c>
      <c r="C105" s="72"/>
      <c r="D105" s="75"/>
      <c r="E105" s="181">
        <f t="shared" ref="E105:Q105" si="76">+E14/E13</f>
        <v>0.6</v>
      </c>
      <c r="F105" s="181">
        <f t="shared" si="76"/>
        <v>0.6</v>
      </c>
      <c r="G105" s="181">
        <f t="shared" si="76"/>
        <v>0.6</v>
      </c>
      <c r="H105" s="181">
        <f t="shared" si="76"/>
        <v>0.6</v>
      </c>
      <c r="I105" s="181">
        <f t="shared" si="76"/>
        <v>0.6</v>
      </c>
      <c r="J105" s="181">
        <f t="shared" si="76"/>
        <v>0.6</v>
      </c>
      <c r="K105" s="181">
        <f t="shared" si="76"/>
        <v>0.6</v>
      </c>
      <c r="L105" s="181">
        <f t="shared" si="76"/>
        <v>0.6</v>
      </c>
      <c r="M105" s="181">
        <f t="shared" si="76"/>
        <v>0.6</v>
      </c>
      <c r="N105" s="181">
        <f t="shared" si="76"/>
        <v>0.6</v>
      </c>
      <c r="O105" s="181">
        <f t="shared" si="76"/>
        <v>0.6</v>
      </c>
      <c r="P105" s="181">
        <f t="shared" si="76"/>
        <v>0.6</v>
      </c>
      <c r="Q105" s="181">
        <f t="shared" si="76"/>
        <v>0.6</v>
      </c>
    </row>
    <row r="106" spans="1:18" ht="15" x14ac:dyDescent="0.25">
      <c r="B106" s="72" t="s">
        <v>5</v>
      </c>
      <c r="C106" s="72"/>
      <c r="D106" s="75"/>
      <c r="E106" s="181">
        <f>+E23/((E88+E37)/2)</f>
        <v>0.14285714285714285</v>
      </c>
      <c r="F106" s="181">
        <f>+F23*12/((E37+F37)/2)</f>
        <v>0.15094339622641509</v>
      </c>
      <c r="G106" s="181">
        <f>+G23*12/((F37+G37)/2)</f>
        <v>0.15286624203821655</v>
      </c>
      <c r="H106" s="181">
        <f t="shared" ref="H106:Q106" si="77">+H23*12/G37</f>
        <v>0.15384615384615385</v>
      </c>
      <c r="I106" s="181">
        <f t="shared" si="77"/>
        <v>0.15584415584415584</v>
      </c>
      <c r="J106" s="181">
        <f t="shared" si="77"/>
        <v>0.16447368421052633</v>
      </c>
      <c r="K106" s="181">
        <f t="shared" si="77"/>
        <v>0.16675931072818234</v>
      </c>
      <c r="L106" s="181">
        <f t="shared" si="77"/>
        <v>0.16465422612513722</v>
      </c>
      <c r="M106" s="181">
        <f t="shared" si="77"/>
        <v>0.16694490818030053</v>
      </c>
      <c r="N106" s="181">
        <f t="shared" si="77"/>
        <v>0.16930022573363435</v>
      </c>
      <c r="O106" s="181">
        <f t="shared" si="77"/>
        <v>0.17172295363480256</v>
      </c>
      <c r="P106" s="181">
        <f t="shared" si="77"/>
        <v>0.1742160278745645</v>
      </c>
      <c r="Q106" s="181">
        <f t="shared" si="77"/>
        <v>0.17678255745433122</v>
      </c>
    </row>
    <row r="107" spans="1:18" ht="15" x14ac:dyDescent="0.25">
      <c r="B107" s="72" t="s">
        <v>6</v>
      </c>
      <c r="C107" s="72"/>
      <c r="D107" s="75"/>
      <c r="E107" s="181"/>
      <c r="F107" s="181">
        <f t="shared" ref="F107:Q107" si="78">+(F26*12)/E43</f>
        <v>1.7857142857142856E-2</v>
      </c>
      <c r="G107" s="181">
        <f t="shared" si="78"/>
        <v>1.7857142857142856E-2</v>
      </c>
      <c r="H107" s="181">
        <f t="shared" si="78"/>
        <v>1.7857142857142856E-2</v>
      </c>
      <c r="I107" s="181">
        <f t="shared" si="78"/>
        <v>1.7857142857142856E-2</v>
      </c>
      <c r="J107" s="181">
        <f t="shared" si="78"/>
        <v>1.6581632653061226E-2</v>
      </c>
      <c r="K107" s="181">
        <f t="shared" si="78"/>
        <v>1.785714285714286E-2</v>
      </c>
      <c r="L107" s="181">
        <f t="shared" si="78"/>
        <v>1.785714285714286E-2</v>
      </c>
      <c r="M107" s="181">
        <f t="shared" si="78"/>
        <v>1.785714285714286E-2</v>
      </c>
      <c r="N107" s="181">
        <f t="shared" si="78"/>
        <v>1.785714285714286E-2</v>
      </c>
      <c r="O107" s="181">
        <f t="shared" si="78"/>
        <v>1.785714285714286E-2</v>
      </c>
      <c r="P107" s="181">
        <f t="shared" si="78"/>
        <v>1.785714285714286E-2</v>
      </c>
      <c r="Q107" s="181">
        <f t="shared" si="78"/>
        <v>1.785714285714286E-2</v>
      </c>
    </row>
    <row r="108" spans="1:18" ht="15" x14ac:dyDescent="0.25">
      <c r="B108" s="72" t="s">
        <v>7</v>
      </c>
      <c r="C108" s="182"/>
      <c r="D108" s="183"/>
      <c r="E108" s="181">
        <f t="shared" ref="E108:Q108" si="79">+(E27)/(E25-E26)</f>
        <v>0.41666666666666669</v>
      </c>
      <c r="F108" s="181">
        <f t="shared" si="79"/>
        <v>0.41666666666666669</v>
      </c>
      <c r="G108" s="181">
        <f t="shared" si="79"/>
        <v>0.41666666666666669</v>
      </c>
      <c r="H108" s="181">
        <f t="shared" si="79"/>
        <v>0.41666666666666669</v>
      </c>
      <c r="I108" s="181">
        <f t="shared" si="79"/>
        <v>0.41666666666666669</v>
      </c>
      <c r="J108" s="181">
        <f t="shared" si="79"/>
        <v>0.41666666666666669</v>
      </c>
      <c r="K108" s="181">
        <f t="shared" si="79"/>
        <v>0.41666666666666669</v>
      </c>
      <c r="L108" s="181">
        <f t="shared" si="79"/>
        <v>0.41666666666666669</v>
      </c>
      <c r="M108" s="181">
        <f t="shared" si="79"/>
        <v>0.41666666666666669</v>
      </c>
      <c r="N108" s="181">
        <f t="shared" si="79"/>
        <v>0.41666666666666663</v>
      </c>
      <c r="O108" s="181">
        <f t="shared" si="79"/>
        <v>0.41666666666666669</v>
      </c>
      <c r="P108" s="181">
        <f t="shared" si="79"/>
        <v>0.41666666666666669</v>
      </c>
      <c r="Q108" s="181">
        <f t="shared" si="79"/>
        <v>0.41666666666666669</v>
      </c>
    </row>
    <row r="109" spans="1:18" ht="15" x14ac:dyDescent="0.25">
      <c r="B109" s="73" t="s">
        <v>8</v>
      </c>
      <c r="C109" s="68"/>
      <c r="D109" s="17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1:18" ht="15" x14ac:dyDescent="0.25">
      <c r="B110" s="66" t="s">
        <v>9</v>
      </c>
      <c r="C110" s="66"/>
      <c r="D110" s="184"/>
      <c r="E110" s="77">
        <f>+E35/E13*365</f>
        <v>43.8</v>
      </c>
      <c r="F110" s="77">
        <f>+F35/(F$13*12)*365</f>
        <v>55.026666666666678</v>
      </c>
      <c r="G110" s="77">
        <f t="shared" ref="G110:Q110" si="80">+G35/((G$13+F$13)/2*12)*365</f>
        <v>52.059981735159838</v>
      </c>
      <c r="H110" s="77">
        <f t="shared" si="80"/>
        <v>49.450924576218192</v>
      </c>
      <c r="I110" s="77">
        <f t="shared" si="80"/>
        <v>47.156383896710622</v>
      </c>
      <c r="J110" s="77">
        <f t="shared" si="80"/>
        <v>40.785334136359289</v>
      </c>
      <c r="K110" s="77">
        <f t="shared" si="80"/>
        <v>36.801819339406158</v>
      </c>
      <c r="L110" s="77">
        <f t="shared" si="80"/>
        <v>37.782102304884134</v>
      </c>
      <c r="M110" s="77">
        <f t="shared" si="80"/>
        <v>38.644214173153813</v>
      </c>
      <c r="N110" s="77">
        <f t="shared" si="80"/>
        <v>29.943077075027642</v>
      </c>
      <c r="O110" s="77">
        <f t="shared" si="80"/>
        <v>29.956689066300861</v>
      </c>
      <c r="P110" s="77">
        <f t="shared" si="80"/>
        <v>44.80314693919393</v>
      </c>
      <c r="Q110" s="77">
        <f t="shared" si="80"/>
        <v>36.727087977347253</v>
      </c>
    </row>
    <row r="111" spans="1:18" ht="15" x14ac:dyDescent="0.25">
      <c r="B111" s="66" t="s">
        <v>10</v>
      </c>
      <c r="C111" s="66"/>
      <c r="D111" s="184"/>
      <c r="E111" s="77">
        <f>(+E36/(E$13))*365</f>
        <v>73</v>
      </c>
      <c r="F111" s="77">
        <f t="shared" ref="F111:Q111" si="81">+F36/((F$13)*12)*365</f>
        <v>97.333333333333329</v>
      </c>
      <c r="G111" s="77">
        <f t="shared" si="81"/>
        <v>97.333333333333329</v>
      </c>
      <c r="H111" s="77">
        <f t="shared" si="81"/>
        <v>97.333333333333329</v>
      </c>
      <c r="I111" s="77">
        <f t="shared" si="81"/>
        <v>97.333333333333329</v>
      </c>
      <c r="J111" s="77">
        <f t="shared" si="81"/>
        <v>73</v>
      </c>
      <c r="K111" s="77">
        <f t="shared" si="81"/>
        <v>73</v>
      </c>
      <c r="L111" s="77">
        <f t="shared" si="81"/>
        <v>73</v>
      </c>
      <c r="M111" s="77">
        <f t="shared" si="81"/>
        <v>73</v>
      </c>
      <c r="N111" s="77">
        <f t="shared" si="81"/>
        <v>36.683417085427138</v>
      </c>
      <c r="O111" s="77">
        <f t="shared" si="81"/>
        <v>73</v>
      </c>
      <c r="P111" s="77">
        <f t="shared" si="81"/>
        <v>73</v>
      </c>
      <c r="Q111" s="77">
        <f t="shared" si="81"/>
        <v>44.923076923076927</v>
      </c>
    </row>
    <row r="112" spans="1:18" ht="15" x14ac:dyDescent="0.25">
      <c r="B112" s="66" t="s">
        <v>11</v>
      </c>
      <c r="C112" s="66"/>
      <c r="D112" s="184"/>
      <c r="E112" s="77">
        <f>+E41/((E$14+E$20))*365</f>
        <v>25.391304347826086</v>
      </c>
      <c r="F112" s="77">
        <f>+F41/((F$14+F$20)*12)*365</f>
        <v>30.337662337662337</v>
      </c>
      <c r="G112" s="77">
        <f t="shared" ref="G112:Q112" si="82">+G41/((G$14+F$14+F$20+G$20)/2*12)*365</f>
        <v>30.337662337662337</v>
      </c>
      <c r="H112" s="77">
        <f t="shared" si="82"/>
        <v>30.337662337662337</v>
      </c>
      <c r="I112" s="77">
        <f t="shared" si="82"/>
        <v>30.337662337662337</v>
      </c>
      <c r="J112" s="77">
        <f t="shared" si="82"/>
        <v>27.644970414201183</v>
      </c>
      <c r="K112" s="77">
        <f t="shared" si="82"/>
        <v>25.391304347826086</v>
      </c>
      <c r="L112" s="77">
        <f t="shared" si="82"/>
        <v>25.391304347826086</v>
      </c>
      <c r="M112" s="77">
        <f t="shared" si="82"/>
        <v>25.391304347826086</v>
      </c>
      <c r="N112" s="77">
        <f t="shared" si="82"/>
        <v>19.194741166803613</v>
      </c>
      <c r="O112" s="77">
        <f t="shared" si="82"/>
        <v>19.194741166803613</v>
      </c>
      <c r="P112" s="77">
        <f t="shared" si="82"/>
        <v>25.391304347826086</v>
      </c>
      <c r="Q112" s="77">
        <f t="shared" si="82"/>
        <v>21.092550790067719</v>
      </c>
    </row>
    <row r="113" x14ac:dyDescent="0.25"/>
    <row r="114" x14ac:dyDescent="0.25"/>
  </sheetData>
  <sheetProtection algorithmName="SHA-512" hashValue="wbTszcm+T0qLxPkzAU89WMsaSN+fJ5Sl/xhJYoJ/1izL+8bx7xxYZVmIiGRJBKTr+u5234LhdC/wkS8pXxdBlA==" saltValue="Zl5dK645saDjKKOZJEXomw==" spinCount="100000" sheet="1" selectLockedCells="1"/>
  <mergeCells count="3">
    <mergeCell ref="F7:R7"/>
    <mergeCell ref="F8:H8"/>
    <mergeCell ref="I8:R8"/>
  </mergeCells>
  <conditionalFormatting sqref="E10:Q10">
    <cfRule type="containsText" dxfId="50" priority="1" operator="containsText" text="OK">
      <formula>NOT(ISERROR(SEARCH("OK",E10)))</formula>
    </cfRule>
    <cfRule type="containsText" dxfId="49" priority="2" operator="containsText" text="ERROR">
      <formula>NOT(ISERROR(SEARCH("ERROR",E10)))</formula>
    </cfRule>
  </conditionalFormatting>
  <pageMargins left="0.7" right="0.7" top="0.75" bottom="0.75" header="0.3" footer="0.3"/>
  <ignoredErrors>
    <ignoredError sqref="F44:G44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9E13-A059-4048-BF0B-90B0FC2491FC}">
  <sheetPr>
    <tabColor rgb="FFDA5D00"/>
  </sheetPr>
  <dimension ref="A1:R199"/>
  <sheetViews>
    <sheetView showGridLines="0" topLeftCell="A6" zoomScale="110" zoomScaleNormal="110" workbookViewId="0">
      <selection activeCell="C10" sqref="C10"/>
    </sheetView>
  </sheetViews>
  <sheetFormatPr defaultColWidth="0" defaultRowHeight="13.8" zeroHeight="1" x14ac:dyDescent="0.25"/>
  <cols>
    <col min="1" max="1" width="1.77734375" style="67" customWidth="1"/>
    <col min="2" max="2" width="65" style="67" bestFit="1" customWidth="1"/>
    <col min="3" max="3" width="17.77734375" style="67" bestFit="1" customWidth="1"/>
    <col min="4" max="4" width="18.6640625" style="67" bestFit="1" customWidth="1"/>
    <col min="5" max="5" width="17.77734375" style="67" bestFit="1" customWidth="1"/>
    <col min="6" max="14" width="19.44140625" style="67" bestFit="1" customWidth="1"/>
    <col min="15" max="15" width="16.44140625" style="67" bestFit="1" customWidth="1"/>
    <col min="16" max="16" width="1.77734375" style="67" customWidth="1"/>
    <col min="17" max="18" width="0" style="67" hidden="1" customWidth="1"/>
    <col min="19" max="16384" width="8.77734375" style="67" hidden="1"/>
  </cols>
  <sheetData>
    <row r="1" spans="2:17" s="66" customFormat="1" ht="30" customHeight="1" x14ac:dyDescent="0.3">
      <c r="P1"/>
      <c r="Q1"/>
    </row>
    <row r="2" spans="2:17" s="66" customFormat="1" ht="30" customHeight="1" x14ac:dyDescent="0.3">
      <c r="P2"/>
      <c r="Q2"/>
    </row>
    <row r="3" spans="2:17" s="66" customFormat="1" ht="30" customHeight="1" x14ac:dyDescent="0.3">
      <c r="P3"/>
      <c r="Q3"/>
    </row>
    <row r="4" spans="2:17" s="66" customFormat="1" ht="30" customHeight="1" x14ac:dyDescent="0.3">
      <c r="P4"/>
      <c r="Q4"/>
    </row>
    <row r="5" spans="2:17" s="66" customFormat="1" ht="30" customHeight="1" x14ac:dyDescent="0.3">
      <c r="P5"/>
      <c r="Q5"/>
    </row>
    <row r="6" spans="2:17" s="66" customFormat="1" ht="30" customHeight="1" x14ac:dyDescent="0.3">
      <c r="P6"/>
      <c r="Q6"/>
    </row>
    <row r="7" spans="2:17" ht="4.2" customHeight="1" x14ac:dyDescent="0.3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/>
      <c r="Q7"/>
    </row>
    <row r="8" spans="2:17" ht="21" thickBot="1" x14ac:dyDescent="0.4">
      <c r="B8" s="103" t="s">
        <v>101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/>
      <c r="Q8"/>
    </row>
    <row r="9" spans="2:17" ht="14.4" x14ac:dyDescent="0.3">
      <c r="E9" s="104"/>
      <c r="G9" s="104"/>
      <c r="P9"/>
      <c r="Q9"/>
    </row>
    <row r="10" spans="2:17" ht="14.4" x14ac:dyDescent="0.3">
      <c r="B10" s="177" t="s">
        <v>143</v>
      </c>
      <c r="C10" s="315" t="s">
        <v>98</v>
      </c>
      <c r="P10"/>
      <c r="Q10"/>
    </row>
    <row r="11" spans="2:17" ht="14.4" x14ac:dyDescent="0.3">
      <c r="P11"/>
      <c r="Q11"/>
    </row>
    <row r="12" spans="2:17" ht="14.4" x14ac:dyDescent="0.3">
      <c r="C12" s="394" t="s">
        <v>69</v>
      </c>
      <c r="D12" s="395"/>
      <c r="E12" s="396"/>
      <c r="F12" s="394" t="s">
        <v>145</v>
      </c>
      <c r="G12" s="395"/>
      <c r="H12" s="395"/>
      <c r="I12" s="395"/>
      <c r="J12" s="395"/>
      <c r="K12" s="395"/>
      <c r="L12" s="395"/>
      <c r="M12" s="395"/>
      <c r="N12" s="396"/>
      <c r="O12" s="105"/>
      <c r="P12"/>
      <c r="Q12"/>
    </row>
    <row r="13" spans="2:17" ht="17.399999999999999" x14ac:dyDescent="0.3">
      <c r="B13" s="106"/>
      <c r="C13" s="110" t="s">
        <v>72</v>
      </c>
      <c r="D13" s="69" t="s">
        <v>73</v>
      </c>
      <c r="E13" s="108" t="s">
        <v>74</v>
      </c>
      <c r="F13" s="107" t="s">
        <v>75</v>
      </c>
      <c r="G13" s="107" t="s">
        <v>76</v>
      </c>
      <c r="H13" s="107" t="s">
        <v>77</v>
      </c>
      <c r="I13" s="107" t="s">
        <v>78</v>
      </c>
      <c r="J13" s="107" t="s">
        <v>79</v>
      </c>
      <c r="K13" s="107" t="s">
        <v>80</v>
      </c>
      <c r="L13" s="107" t="s">
        <v>81</v>
      </c>
      <c r="M13" s="107" t="s">
        <v>82</v>
      </c>
      <c r="N13" s="107" t="s">
        <v>83</v>
      </c>
      <c r="O13" s="109" t="s">
        <v>70</v>
      </c>
      <c r="P13"/>
      <c r="Q13"/>
    </row>
    <row r="14" spans="2:17" ht="14.4" x14ac:dyDescent="0.3">
      <c r="B14" s="117" t="s">
        <v>140</v>
      </c>
      <c r="C14" s="194">
        <f>'(1) Budget 2020'!F13</f>
        <v>781250</v>
      </c>
      <c r="D14" s="195">
        <f>'(1) Budget 2020'!G13</f>
        <v>781250</v>
      </c>
      <c r="E14" s="196">
        <f>'(1) Budget 2020'!H13</f>
        <v>781250</v>
      </c>
      <c r="F14" s="197">
        <f>'(1) Budget 2020'!I13</f>
        <v>781250</v>
      </c>
      <c r="G14" s="197">
        <f>'(1) Budget 2020'!J13</f>
        <v>1041666.6666666666</v>
      </c>
      <c r="H14" s="197">
        <f>'(1) Budget 2020'!K13</f>
        <v>1041666.6666666666</v>
      </c>
      <c r="I14" s="197">
        <f>'(1) Budget 2020'!L13</f>
        <v>1041666.6666666666</v>
      </c>
      <c r="J14" s="197">
        <f>'(1) Budget 2020'!M13</f>
        <v>1041666.6666666666</v>
      </c>
      <c r="K14" s="197">
        <f>'(1) Budget 2020'!N13</f>
        <v>2072916.6666666667</v>
      </c>
      <c r="L14" s="197">
        <f>'(1) Budget 2020'!O13</f>
        <v>1041666.6666666666</v>
      </c>
      <c r="M14" s="197">
        <f>'(1) Budget 2020'!P13</f>
        <v>1041666.6666666666</v>
      </c>
      <c r="N14" s="197">
        <f>'(1) Budget 2020'!Q13</f>
        <v>1692708.3333333333</v>
      </c>
      <c r="O14" s="198">
        <f>SUM(C14:N14)</f>
        <v>13140625</v>
      </c>
      <c r="P14"/>
      <c r="Q14"/>
    </row>
    <row r="15" spans="2:17" ht="14.4" x14ac:dyDescent="0.3">
      <c r="B15" s="117" t="s">
        <v>141</v>
      </c>
      <c r="C15" s="199"/>
      <c r="D15" s="200"/>
      <c r="E15" s="201"/>
      <c r="F15" s="344">
        <v>-0.5</v>
      </c>
      <c r="G15" s="344">
        <v>0</v>
      </c>
      <c r="H15" s="344">
        <v>0</v>
      </c>
      <c r="I15" s="344">
        <v>0</v>
      </c>
      <c r="J15" s="344">
        <v>0</v>
      </c>
      <c r="K15" s="344">
        <v>0</v>
      </c>
      <c r="L15" s="344">
        <v>0</v>
      </c>
      <c r="M15" s="344">
        <v>0</v>
      </c>
      <c r="N15" s="344">
        <v>0</v>
      </c>
      <c r="O15" s="119">
        <f>(O16/O14)-1</f>
        <v>0</v>
      </c>
      <c r="P15"/>
      <c r="Q15"/>
    </row>
    <row r="16" spans="2:17" ht="14.4" x14ac:dyDescent="0.3">
      <c r="B16" s="118" t="s">
        <v>142</v>
      </c>
      <c r="C16" s="202">
        <f>C14</f>
        <v>781250</v>
      </c>
      <c r="D16" s="203">
        <f>D14</f>
        <v>781250</v>
      </c>
      <c r="E16" s="204">
        <f>E14</f>
        <v>781250</v>
      </c>
      <c r="F16" s="205">
        <f>IF(F14=0,0,IF($C$10="No",F14,IF($C$10="Yes",F14*(1+F15))))</f>
        <v>781250</v>
      </c>
      <c r="G16" s="205">
        <f t="shared" ref="G16:N16" si="0">IF(G14=0,0,IF($C$10="No",G14,IF($C$10="Yes",G14*(1+G15))))</f>
        <v>1041666.6666666666</v>
      </c>
      <c r="H16" s="205">
        <f t="shared" si="0"/>
        <v>1041666.6666666666</v>
      </c>
      <c r="I16" s="205">
        <f t="shared" si="0"/>
        <v>1041666.6666666666</v>
      </c>
      <c r="J16" s="205">
        <f t="shared" si="0"/>
        <v>1041666.6666666666</v>
      </c>
      <c r="K16" s="205">
        <f t="shared" si="0"/>
        <v>2072916.6666666667</v>
      </c>
      <c r="L16" s="205">
        <f t="shared" si="0"/>
        <v>1041666.6666666666</v>
      </c>
      <c r="M16" s="205">
        <f t="shared" si="0"/>
        <v>1041666.6666666666</v>
      </c>
      <c r="N16" s="205">
        <f t="shared" si="0"/>
        <v>1692708.3333333333</v>
      </c>
      <c r="O16" s="206">
        <f>SUM(C16:N16)</f>
        <v>13140625</v>
      </c>
      <c r="P16"/>
      <c r="Q16"/>
    </row>
    <row r="17" spans="2:17" ht="14.4" x14ac:dyDescent="0.3">
      <c r="P17"/>
      <c r="Q17"/>
    </row>
    <row r="18" spans="2:17" ht="14.4" x14ac:dyDescent="0.3">
      <c r="P18"/>
      <c r="Q18"/>
    </row>
    <row r="19" spans="2:17" ht="21" thickBot="1" x14ac:dyDescent="0.4">
      <c r="B19" s="103" t="s">
        <v>91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/>
      <c r="Q19"/>
    </row>
    <row r="20" spans="2:17" ht="14.4" x14ac:dyDescent="0.3">
      <c r="P20"/>
      <c r="Q20"/>
    </row>
    <row r="21" spans="2:17" ht="13.8" customHeight="1" x14ac:dyDescent="0.3">
      <c r="B21" s="177" t="s">
        <v>144</v>
      </c>
      <c r="C21" s="315" t="s">
        <v>98</v>
      </c>
      <c r="P21"/>
      <c r="Q21"/>
    </row>
    <row r="22" spans="2:17" ht="13.8" customHeight="1" x14ac:dyDescent="0.3">
      <c r="B22" s="177"/>
      <c r="C22" s="315"/>
      <c r="P22"/>
      <c r="Q22"/>
    </row>
    <row r="23" spans="2:17" ht="13.8" customHeight="1" x14ac:dyDescent="0.3">
      <c r="B23" s="114" t="s">
        <v>228</v>
      </c>
      <c r="C23" s="367">
        <f>'(1) Budget 2020'!E14/'(1) Budget 2020'!E13</f>
        <v>0.6</v>
      </c>
      <c r="P23"/>
      <c r="Q23"/>
    </row>
    <row r="24" spans="2:17" ht="14.4" x14ac:dyDescent="0.3">
      <c r="P24"/>
      <c r="Q24"/>
    </row>
    <row r="25" spans="2:17" ht="14.4" x14ac:dyDescent="0.3">
      <c r="C25" s="394" t="s">
        <v>69</v>
      </c>
      <c r="D25" s="395"/>
      <c r="E25" s="396"/>
      <c r="F25" s="394" t="s">
        <v>145</v>
      </c>
      <c r="G25" s="395"/>
      <c r="H25" s="395"/>
      <c r="I25" s="395"/>
      <c r="J25" s="395"/>
      <c r="K25" s="395"/>
      <c r="L25" s="395"/>
      <c r="M25" s="395"/>
      <c r="N25" s="396"/>
      <c r="O25" s="105"/>
      <c r="P25"/>
      <c r="Q25"/>
    </row>
    <row r="26" spans="2:17" ht="17.399999999999999" x14ac:dyDescent="0.3">
      <c r="B26" s="106"/>
      <c r="C26" s="110" t="s">
        <v>72</v>
      </c>
      <c r="D26" s="69" t="s">
        <v>73</v>
      </c>
      <c r="E26" s="108" t="s">
        <v>74</v>
      </c>
      <c r="F26" s="107" t="s">
        <v>75</v>
      </c>
      <c r="G26" s="107" t="s">
        <v>76</v>
      </c>
      <c r="H26" s="107" t="s">
        <v>77</v>
      </c>
      <c r="I26" s="107" t="s">
        <v>78</v>
      </c>
      <c r="J26" s="107" t="s">
        <v>79</v>
      </c>
      <c r="K26" s="107" t="s">
        <v>80</v>
      </c>
      <c r="L26" s="107" t="s">
        <v>81</v>
      </c>
      <c r="M26" s="107" t="s">
        <v>82</v>
      </c>
      <c r="N26" s="107" t="s">
        <v>83</v>
      </c>
      <c r="O26" s="109" t="s">
        <v>70</v>
      </c>
      <c r="P26"/>
      <c r="Q26"/>
    </row>
    <row r="27" spans="2:17" ht="14.4" x14ac:dyDescent="0.3">
      <c r="B27" s="117" t="s">
        <v>218</v>
      </c>
      <c r="C27" s="194">
        <f>'(1) Budget 2020'!F14</f>
        <v>468750</v>
      </c>
      <c r="D27" s="195">
        <f>'(1) Budget 2020'!G14</f>
        <v>468750</v>
      </c>
      <c r="E27" s="196">
        <f>'(1) Budget 2020'!H14</f>
        <v>468750</v>
      </c>
      <c r="F27" s="197">
        <f t="shared" ref="F27:N27" si="1">F14*$C$23</f>
        <v>468750</v>
      </c>
      <c r="G27" s="197">
        <f t="shared" si="1"/>
        <v>625000</v>
      </c>
      <c r="H27" s="197">
        <f t="shared" si="1"/>
        <v>625000</v>
      </c>
      <c r="I27" s="197">
        <f t="shared" si="1"/>
        <v>625000</v>
      </c>
      <c r="J27" s="197">
        <f t="shared" si="1"/>
        <v>625000</v>
      </c>
      <c r="K27" s="197">
        <f t="shared" si="1"/>
        <v>1243750</v>
      </c>
      <c r="L27" s="197">
        <f t="shared" si="1"/>
        <v>625000</v>
      </c>
      <c r="M27" s="197">
        <f t="shared" si="1"/>
        <v>625000</v>
      </c>
      <c r="N27" s="197">
        <f t="shared" si="1"/>
        <v>1015624.9999999999</v>
      </c>
      <c r="O27" s="198">
        <f>SUM(C27:N27)</f>
        <v>7884375</v>
      </c>
      <c r="P27"/>
      <c r="Q27"/>
    </row>
    <row r="28" spans="2:17" ht="14.4" x14ac:dyDescent="0.3">
      <c r="B28" s="117" t="s">
        <v>141</v>
      </c>
      <c r="C28" s="111"/>
      <c r="D28" s="112"/>
      <c r="E28" s="113"/>
      <c r="F28" s="318">
        <v>0</v>
      </c>
      <c r="G28" s="318">
        <v>0</v>
      </c>
      <c r="H28" s="318">
        <v>0</v>
      </c>
      <c r="I28" s="318">
        <v>0</v>
      </c>
      <c r="J28" s="318">
        <v>0</v>
      </c>
      <c r="K28" s="318">
        <v>0</v>
      </c>
      <c r="L28" s="318">
        <v>0</v>
      </c>
      <c r="M28" s="318">
        <v>0</v>
      </c>
      <c r="N28" s="318">
        <v>0</v>
      </c>
      <c r="O28" s="119">
        <f>(O29/O27)-1</f>
        <v>0</v>
      </c>
      <c r="P28"/>
      <c r="Q28"/>
    </row>
    <row r="29" spans="2:17" ht="14.4" x14ac:dyDescent="0.3">
      <c r="B29" s="118" t="s">
        <v>219</v>
      </c>
      <c r="C29" s="202">
        <f>C27</f>
        <v>468750</v>
      </c>
      <c r="D29" s="203">
        <f>D27</f>
        <v>468750</v>
      </c>
      <c r="E29" s="204">
        <f>E27</f>
        <v>468750</v>
      </c>
      <c r="F29" s="205">
        <f>IF($C$21="No",F27,$C$23*(1+F28)*F16)</f>
        <v>468750</v>
      </c>
      <c r="G29" s="205">
        <f t="shared" ref="G29:N29" si="2">IF($C$21="No",G27,$C$23*(1+G28)*G16)</f>
        <v>625000</v>
      </c>
      <c r="H29" s="205">
        <f t="shared" si="2"/>
        <v>625000</v>
      </c>
      <c r="I29" s="205">
        <f t="shared" si="2"/>
        <v>625000</v>
      </c>
      <c r="J29" s="205">
        <f t="shared" si="2"/>
        <v>625000</v>
      </c>
      <c r="K29" s="205">
        <f t="shared" si="2"/>
        <v>1243750</v>
      </c>
      <c r="L29" s="205">
        <f t="shared" si="2"/>
        <v>625000</v>
      </c>
      <c r="M29" s="205">
        <f t="shared" si="2"/>
        <v>625000</v>
      </c>
      <c r="N29" s="205">
        <f t="shared" si="2"/>
        <v>1015624.9999999999</v>
      </c>
      <c r="O29" s="206">
        <f>SUM(C29:N29)</f>
        <v>7884375</v>
      </c>
      <c r="P29"/>
      <c r="Q29"/>
    </row>
    <row r="30" spans="2:17" ht="14.4" x14ac:dyDescent="0.3">
      <c r="F30" s="114"/>
      <c r="P30"/>
      <c r="Q30"/>
    </row>
    <row r="31" spans="2:17" ht="14.4" x14ac:dyDescent="0.3">
      <c r="P31"/>
      <c r="Q31"/>
    </row>
    <row r="32" spans="2:17" ht="21" thickBot="1" x14ac:dyDescent="0.4">
      <c r="B32" s="103" t="s">
        <v>99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/>
      <c r="Q32"/>
    </row>
    <row r="33" spans="2:17" ht="14.4" x14ac:dyDescent="0.3">
      <c r="P33"/>
      <c r="Q33"/>
    </row>
    <row r="34" spans="2:17" ht="14.4" x14ac:dyDescent="0.3">
      <c r="B34" s="177" t="s">
        <v>137</v>
      </c>
      <c r="C34" s="315" t="s">
        <v>98</v>
      </c>
      <c r="P34"/>
      <c r="Q34"/>
    </row>
    <row r="35" spans="2:17" ht="14.4" x14ac:dyDescent="0.3">
      <c r="P35"/>
      <c r="Q35"/>
    </row>
    <row r="36" spans="2:17" ht="14.4" x14ac:dyDescent="0.3">
      <c r="B36" s="67" t="s">
        <v>100</v>
      </c>
      <c r="C36" s="316">
        <v>0</v>
      </c>
      <c r="P36"/>
      <c r="Q36"/>
    </row>
    <row r="37" spans="2:17" ht="14.4" x14ac:dyDescent="0.3">
      <c r="B37" s="67" t="s">
        <v>102</v>
      </c>
      <c r="C37" s="317">
        <v>0</v>
      </c>
      <c r="P37"/>
      <c r="Q37"/>
    </row>
    <row r="38" spans="2:17" ht="14.4" x14ac:dyDescent="0.3">
      <c r="C38"/>
      <c r="P38"/>
      <c r="Q38"/>
    </row>
    <row r="39" spans="2:17" ht="14.4" x14ac:dyDescent="0.3">
      <c r="C39" s="394" t="s">
        <v>69</v>
      </c>
      <c r="D39" s="395"/>
      <c r="E39" s="396"/>
      <c r="F39" s="394" t="s">
        <v>145</v>
      </c>
      <c r="G39" s="395"/>
      <c r="H39" s="395"/>
      <c r="I39" s="395"/>
      <c r="J39" s="395"/>
      <c r="K39" s="395"/>
      <c r="L39" s="395"/>
      <c r="M39" s="395"/>
      <c r="N39" s="396"/>
      <c r="O39" s="105"/>
      <c r="P39"/>
      <c r="Q39"/>
    </row>
    <row r="40" spans="2:17" ht="17.399999999999999" x14ac:dyDescent="0.3">
      <c r="C40" s="110" t="s">
        <v>72</v>
      </c>
      <c r="D40" s="69" t="s">
        <v>73</v>
      </c>
      <c r="E40" s="108" t="s">
        <v>74</v>
      </c>
      <c r="F40" s="107" t="s">
        <v>75</v>
      </c>
      <c r="G40" s="107" t="s">
        <v>76</v>
      </c>
      <c r="H40" s="107" t="s">
        <v>77</v>
      </c>
      <c r="I40" s="107" t="s">
        <v>78</v>
      </c>
      <c r="J40" s="107" t="s">
        <v>79</v>
      </c>
      <c r="K40" s="107" t="s">
        <v>80</v>
      </c>
      <c r="L40" s="107" t="s">
        <v>81</v>
      </c>
      <c r="M40" s="107" t="s">
        <v>82</v>
      </c>
      <c r="N40" s="107" t="s">
        <v>83</v>
      </c>
      <c r="O40" s="109" t="s">
        <v>70</v>
      </c>
      <c r="P40"/>
      <c r="Q40"/>
    </row>
    <row r="41" spans="2:17" ht="14.4" x14ac:dyDescent="0.3">
      <c r="B41" s="117" t="s">
        <v>147</v>
      </c>
      <c r="C41" s="194">
        <f>'(1) Budget 2020'!F19</f>
        <v>41666.666666666664</v>
      </c>
      <c r="D41" s="195">
        <f>'(1) Budget 2020'!G19</f>
        <v>41666.666666666664</v>
      </c>
      <c r="E41" s="196">
        <f>'(1) Budget 2020'!H19</f>
        <v>41666.666666666664</v>
      </c>
      <c r="F41" s="197">
        <f>'(1) Budget 2020'!I19</f>
        <v>41666.666666666664</v>
      </c>
      <c r="G41" s="197">
        <f>'(1) Budget 2020'!J19</f>
        <v>41666.666666666664</v>
      </c>
      <c r="H41" s="197">
        <f>'(1) Budget 2020'!K19</f>
        <v>41666.666666666664</v>
      </c>
      <c r="I41" s="197">
        <f>'(1) Budget 2020'!L19</f>
        <v>41666.666666666664</v>
      </c>
      <c r="J41" s="197">
        <f>'(1) Budget 2020'!M19</f>
        <v>41666.666666666664</v>
      </c>
      <c r="K41" s="197">
        <f>'(1) Budget 2020'!N19</f>
        <v>41666.666666666664</v>
      </c>
      <c r="L41" s="197">
        <f>'(1) Budget 2020'!O19</f>
        <v>41666.666666666664</v>
      </c>
      <c r="M41" s="197">
        <f>'(1) Budget 2020'!P19</f>
        <v>41666.666666666664</v>
      </c>
      <c r="N41" s="197">
        <f>'(1) Budget 2020'!Q19</f>
        <v>41666.666666666664</v>
      </c>
      <c r="O41" s="198">
        <f>SUM(C41:N41)</f>
        <v>500000.00000000006</v>
      </c>
      <c r="P41"/>
      <c r="Q41"/>
    </row>
    <row r="42" spans="2:17" ht="14.4" x14ac:dyDescent="0.3">
      <c r="B42" s="117" t="s">
        <v>162</v>
      </c>
      <c r="C42" s="111"/>
      <c r="D42" s="112"/>
      <c r="E42" s="113"/>
      <c r="F42" s="316">
        <v>0</v>
      </c>
      <c r="G42" s="316">
        <v>0</v>
      </c>
      <c r="H42" s="316">
        <v>0</v>
      </c>
      <c r="I42" s="316">
        <v>0</v>
      </c>
      <c r="J42" s="316">
        <v>0</v>
      </c>
      <c r="K42" s="316">
        <v>0</v>
      </c>
      <c r="L42" s="316">
        <v>0</v>
      </c>
      <c r="M42" s="316">
        <v>0</v>
      </c>
      <c r="N42" s="316">
        <v>0</v>
      </c>
      <c r="O42" s="119">
        <f>(O43/O41)-1</f>
        <v>0</v>
      </c>
      <c r="P42"/>
      <c r="Q42"/>
    </row>
    <row r="43" spans="2:17" ht="14.4" x14ac:dyDescent="0.3">
      <c r="B43" s="118" t="s">
        <v>148</v>
      </c>
      <c r="C43" s="202">
        <f>C41</f>
        <v>41666.666666666664</v>
      </c>
      <c r="D43" s="203">
        <f>D41</f>
        <v>41666.666666666664</v>
      </c>
      <c r="E43" s="204">
        <f>E41</f>
        <v>41666.666666666664</v>
      </c>
      <c r="F43" s="205">
        <f>IF($C$34="No",F41,IFERROR((1-(F42/$C$36))*F41+($C$37*F42),F41))</f>
        <v>41666.666666666664</v>
      </c>
      <c r="G43" s="205">
        <f t="shared" ref="G43:N43" si="3">IF($C$34="No",G41,IFERROR((1-(G42/$C$36))*G41+($C$37*G42),G41))</f>
        <v>41666.666666666664</v>
      </c>
      <c r="H43" s="205">
        <f t="shared" si="3"/>
        <v>41666.666666666664</v>
      </c>
      <c r="I43" s="205">
        <f t="shared" si="3"/>
        <v>41666.666666666664</v>
      </c>
      <c r="J43" s="205">
        <f t="shared" si="3"/>
        <v>41666.666666666664</v>
      </c>
      <c r="K43" s="205">
        <f t="shared" si="3"/>
        <v>41666.666666666664</v>
      </c>
      <c r="L43" s="205">
        <f t="shared" si="3"/>
        <v>41666.666666666664</v>
      </c>
      <c r="M43" s="205">
        <f t="shared" si="3"/>
        <v>41666.666666666664</v>
      </c>
      <c r="N43" s="205">
        <f t="shared" si="3"/>
        <v>41666.666666666664</v>
      </c>
      <c r="O43" s="206">
        <f>SUM(C43:N43)</f>
        <v>500000.00000000006</v>
      </c>
      <c r="P43"/>
      <c r="Q43"/>
    </row>
    <row r="44" spans="2:17" ht="14.4" x14ac:dyDescent="0.3">
      <c r="P44"/>
      <c r="Q44"/>
    </row>
    <row r="45" spans="2:17" ht="14.4" x14ac:dyDescent="0.3">
      <c r="P45"/>
      <c r="Q45"/>
    </row>
    <row r="46" spans="2:17" ht="21" thickBot="1" x14ac:dyDescent="0.4">
      <c r="B46" s="103" t="s">
        <v>18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/>
      <c r="Q46"/>
    </row>
    <row r="47" spans="2:17" ht="14.4" x14ac:dyDescent="0.3">
      <c r="P47"/>
      <c r="Q47"/>
    </row>
    <row r="48" spans="2:17" ht="14.4" x14ac:dyDescent="0.3">
      <c r="B48" s="177" t="s">
        <v>146</v>
      </c>
      <c r="C48" s="315" t="s">
        <v>98</v>
      </c>
      <c r="D48"/>
      <c r="E48"/>
      <c r="F48"/>
      <c r="P48"/>
      <c r="Q48"/>
    </row>
    <row r="49" spans="2:18" ht="14.4" x14ac:dyDescent="0.3">
      <c r="D49"/>
      <c r="E49"/>
      <c r="F49"/>
      <c r="P49"/>
      <c r="Q49"/>
    </row>
    <row r="50" spans="2:18" ht="14.4" x14ac:dyDescent="0.3">
      <c r="C50" s="394" t="s">
        <v>69</v>
      </c>
      <c r="D50" s="395"/>
      <c r="E50" s="396"/>
      <c r="F50" s="394" t="s">
        <v>145</v>
      </c>
      <c r="G50" s="395"/>
      <c r="H50" s="395"/>
      <c r="I50" s="395"/>
      <c r="J50" s="395"/>
      <c r="K50" s="395"/>
      <c r="L50" s="395"/>
      <c r="M50" s="395"/>
      <c r="N50" s="396"/>
      <c r="O50" s="105"/>
      <c r="P50"/>
      <c r="Q50"/>
    </row>
    <row r="51" spans="2:18" ht="17.399999999999999" x14ac:dyDescent="0.3">
      <c r="B51" s="106"/>
      <c r="C51" s="110" t="s">
        <v>72</v>
      </c>
      <c r="D51" s="69" t="s">
        <v>73</v>
      </c>
      <c r="E51" s="108" t="s">
        <v>74</v>
      </c>
      <c r="F51" s="107" t="s">
        <v>75</v>
      </c>
      <c r="G51" s="107" t="s">
        <v>76</v>
      </c>
      <c r="H51" s="107" t="s">
        <v>77</v>
      </c>
      <c r="I51" s="107" t="s">
        <v>78</v>
      </c>
      <c r="J51" s="107" t="s">
        <v>79</v>
      </c>
      <c r="K51" s="107" t="s">
        <v>80</v>
      </c>
      <c r="L51" s="107" t="s">
        <v>81</v>
      </c>
      <c r="M51" s="107" t="s">
        <v>82</v>
      </c>
      <c r="N51" s="107" t="s">
        <v>83</v>
      </c>
      <c r="O51" s="109" t="s">
        <v>70</v>
      </c>
      <c r="P51"/>
      <c r="Q51"/>
    </row>
    <row r="52" spans="2:18" ht="14.4" x14ac:dyDescent="0.3">
      <c r="B52" s="117" t="s">
        <v>220</v>
      </c>
      <c r="C52" s="194">
        <f>'(1) Budget 2020'!F20</f>
        <v>333333.33333333331</v>
      </c>
      <c r="D52" s="195">
        <f>'(1) Budget 2020'!G20</f>
        <v>333333.33333333331</v>
      </c>
      <c r="E52" s="196">
        <f>'(1) Budget 2020'!H20</f>
        <v>333333.33333333331</v>
      </c>
      <c r="F52" s="197">
        <f>'(1) Budget 2020'!I20</f>
        <v>333333.33333333331</v>
      </c>
      <c r="G52" s="197">
        <f>'(1) Budget 2020'!J20</f>
        <v>333333.33333333331</v>
      </c>
      <c r="H52" s="197">
        <f>'(1) Budget 2020'!K20</f>
        <v>333333.33333333331</v>
      </c>
      <c r="I52" s="197">
        <f>'(1) Budget 2020'!L20</f>
        <v>333333.33333333331</v>
      </c>
      <c r="J52" s="197">
        <f>'(1) Budget 2020'!M20</f>
        <v>333333.33333333331</v>
      </c>
      <c r="K52" s="197">
        <f>'(1) Budget 2020'!N20</f>
        <v>333333.33333333331</v>
      </c>
      <c r="L52" s="197">
        <f>'(1) Budget 2020'!O20</f>
        <v>333333.33333333331</v>
      </c>
      <c r="M52" s="197">
        <f>'(1) Budget 2020'!P20</f>
        <v>333333.33333333331</v>
      </c>
      <c r="N52" s="197">
        <f>'(1) Budget 2020'!Q20</f>
        <v>333333.33333333331</v>
      </c>
      <c r="O52" s="198">
        <f>SUM(C52:N52)</f>
        <v>4000000.0000000005</v>
      </c>
      <c r="P52"/>
      <c r="Q52"/>
    </row>
    <row r="53" spans="2:18" ht="14.4" x14ac:dyDescent="0.3">
      <c r="B53" s="117" t="s">
        <v>141</v>
      </c>
      <c r="C53" s="111"/>
      <c r="D53" s="112"/>
      <c r="E53" s="113"/>
      <c r="F53" s="318">
        <v>0</v>
      </c>
      <c r="G53" s="318">
        <v>0</v>
      </c>
      <c r="H53" s="318">
        <v>0</v>
      </c>
      <c r="I53" s="318">
        <v>0</v>
      </c>
      <c r="J53" s="318">
        <v>0</v>
      </c>
      <c r="K53" s="318">
        <v>0</v>
      </c>
      <c r="L53" s="318">
        <v>0</v>
      </c>
      <c r="M53" s="318">
        <v>0</v>
      </c>
      <c r="N53" s="318">
        <v>0</v>
      </c>
      <c r="O53" s="119">
        <f>(O54/O52)-1</f>
        <v>0</v>
      </c>
      <c r="P53"/>
      <c r="Q53"/>
    </row>
    <row r="54" spans="2:18" ht="14.4" x14ac:dyDescent="0.3">
      <c r="B54" s="118" t="s">
        <v>221</v>
      </c>
      <c r="C54" s="202">
        <f>C52</f>
        <v>333333.33333333331</v>
      </c>
      <c r="D54" s="203">
        <f>D52</f>
        <v>333333.33333333331</v>
      </c>
      <c r="E54" s="204">
        <f>E52</f>
        <v>333333.33333333331</v>
      </c>
      <c r="F54" s="205">
        <f>IF(F52=0,0,IF($C$48="No",F52,IF($C$48="Yes",F52*(1+F53))))</f>
        <v>333333.33333333331</v>
      </c>
      <c r="G54" s="205">
        <f t="shared" ref="G54:N54" si="4">IF(G52=0,0,IF($C$48="No",G52,IF($C$48="Yes",G52*(1+G53))))</f>
        <v>333333.33333333331</v>
      </c>
      <c r="H54" s="205">
        <f t="shared" si="4"/>
        <v>333333.33333333331</v>
      </c>
      <c r="I54" s="205">
        <f t="shared" si="4"/>
        <v>333333.33333333331</v>
      </c>
      <c r="J54" s="205">
        <f t="shared" si="4"/>
        <v>333333.33333333331</v>
      </c>
      <c r="K54" s="205">
        <f t="shared" si="4"/>
        <v>333333.33333333331</v>
      </c>
      <c r="L54" s="205">
        <f t="shared" si="4"/>
        <v>333333.33333333331</v>
      </c>
      <c r="M54" s="205">
        <f t="shared" si="4"/>
        <v>333333.33333333331</v>
      </c>
      <c r="N54" s="205">
        <f t="shared" si="4"/>
        <v>333333.33333333331</v>
      </c>
      <c r="O54" s="206">
        <f>SUM(C54:N54)</f>
        <v>4000000.0000000005</v>
      </c>
      <c r="P54"/>
      <c r="Q54"/>
    </row>
    <row r="55" spans="2:18" ht="14.4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8" ht="14.4" x14ac:dyDescent="0.3">
      <c r="P56"/>
      <c r="Q56"/>
    </row>
    <row r="57" spans="2:18" ht="21" thickBot="1" x14ac:dyDescent="0.4">
      <c r="B57" s="103" t="s">
        <v>197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/>
      <c r="Q57"/>
      <c r="R57" s="166"/>
    </row>
    <row r="58" spans="2:18" ht="14.4" x14ac:dyDescent="0.3">
      <c r="P58"/>
      <c r="Q58"/>
      <c r="R58" s="166"/>
    </row>
    <row r="59" spans="2:18" ht="14.4" x14ac:dyDescent="0.3">
      <c r="B59" s="177" t="s">
        <v>167</v>
      </c>
      <c r="C59" s="315" t="s">
        <v>98</v>
      </c>
      <c r="P59"/>
      <c r="Q59"/>
      <c r="R59" s="166"/>
    </row>
    <row r="60" spans="2:18" ht="14.4" x14ac:dyDescent="0.3">
      <c r="P60"/>
      <c r="Q60"/>
      <c r="R60" s="166"/>
    </row>
    <row r="61" spans="2:18" ht="14.4" x14ac:dyDescent="0.3">
      <c r="B61" s="67" t="s">
        <v>168</v>
      </c>
      <c r="C61" s="368">
        <f>AVERAGE('(1) Budget 2020'!I106:Q106)</f>
        <v>0.16785533886507054</v>
      </c>
      <c r="D61" s="67" t="s">
        <v>133</v>
      </c>
      <c r="P61"/>
      <c r="Q61"/>
      <c r="R61" s="166"/>
    </row>
    <row r="62" spans="2:18" ht="14.4" x14ac:dyDescent="0.3">
      <c r="C62" s="115"/>
      <c r="P62"/>
      <c r="Q62"/>
      <c r="R62" s="166"/>
    </row>
    <row r="63" spans="2:18" ht="14.4" x14ac:dyDescent="0.3">
      <c r="C63" s="394" t="s">
        <v>69</v>
      </c>
      <c r="D63" s="395"/>
      <c r="E63" s="396"/>
      <c r="F63" s="394" t="s">
        <v>145</v>
      </c>
      <c r="G63" s="395"/>
      <c r="H63" s="395"/>
      <c r="I63" s="395"/>
      <c r="J63" s="395"/>
      <c r="K63" s="395"/>
      <c r="L63" s="395"/>
      <c r="M63" s="395"/>
      <c r="N63" s="396"/>
      <c r="P63"/>
      <c r="Q63"/>
      <c r="R63" s="166"/>
    </row>
    <row r="64" spans="2:18" ht="17.399999999999999" x14ac:dyDescent="0.3">
      <c r="B64" s="73"/>
      <c r="C64" s="110" t="s">
        <v>72</v>
      </c>
      <c r="D64" s="69" t="s">
        <v>73</v>
      </c>
      <c r="E64" s="108" t="s">
        <v>74</v>
      </c>
      <c r="F64" s="107" t="s">
        <v>75</v>
      </c>
      <c r="G64" s="107" t="s">
        <v>76</v>
      </c>
      <c r="H64" s="107" t="s">
        <v>77</v>
      </c>
      <c r="I64" s="107" t="s">
        <v>78</v>
      </c>
      <c r="J64" s="107" t="s">
        <v>79</v>
      </c>
      <c r="K64" s="107" t="s">
        <v>80</v>
      </c>
      <c r="L64" s="107" t="s">
        <v>81</v>
      </c>
      <c r="M64" s="107" t="s">
        <v>82</v>
      </c>
      <c r="N64" s="107" t="s">
        <v>83</v>
      </c>
      <c r="P64"/>
      <c r="Q64"/>
      <c r="R64" s="166"/>
    </row>
    <row r="65" spans="2:18" ht="15.6" x14ac:dyDescent="0.3">
      <c r="B65" s="117" t="s">
        <v>150</v>
      </c>
      <c r="C65" s="207">
        <f>'(1) Budget 2020'!F63</f>
        <v>0</v>
      </c>
      <c r="D65" s="208">
        <f>'(1) Budget 2020'!G63</f>
        <v>0</v>
      </c>
      <c r="E65" s="208">
        <f>'(1) Budget 2020'!H63</f>
        <v>0</v>
      </c>
      <c r="F65" s="209">
        <f>'(1) Budget 2020'!I63</f>
        <v>0</v>
      </c>
      <c r="G65" s="210">
        <f>'(1) Budget 2020'!J63</f>
        <v>0</v>
      </c>
      <c r="H65" s="210">
        <f>'(1) Budget 2020'!K63</f>
        <v>25000</v>
      </c>
      <c r="I65" s="210">
        <f>'(1) Budget 2020'!L63</f>
        <v>0</v>
      </c>
      <c r="J65" s="210">
        <f>'(1) Budget 2020'!M63</f>
        <v>0</v>
      </c>
      <c r="K65" s="210">
        <f>'(1) Budget 2020'!N63</f>
        <v>0</v>
      </c>
      <c r="L65" s="210">
        <f>'(1) Budget 2020'!O63</f>
        <v>0</v>
      </c>
      <c r="M65" s="210">
        <f>'(1) Budget 2020'!P63</f>
        <v>0</v>
      </c>
      <c r="N65" s="211">
        <f>'(1) Budget 2020'!Q63</f>
        <v>0</v>
      </c>
      <c r="P65"/>
      <c r="Q65"/>
      <c r="R65" s="166"/>
    </row>
    <row r="66" spans="2:18" ht="15.6" x14ac:dyDescent="0.3">
      <c r="B66" s="118" t="s">
        <v>151</v>
      </c>
      <c r="C66" s="207"/>
      <c r="D66" s="208"/>
      <c r="E66" s="208"/>
      <c r="F66" s="319">
        <v>0</v>
      </c>
      <c r="G66" s="320">
        <v>0</v>
      </c>
      <c r="H66" s="320">
        <v>0</v>
      </c>
      <c r="I66" s="320">
        <v>0</v>
      </c>
      <c r="J66" s="320">
        <v>0</v>
      </c>
      <c r="K66" s="320">
        <v>0</v>
      </c>
      <c r="L66" s="320">
        <v>0</v>
      </c>
      <c r="M66" s="320">
        <v>0</v>
      </c>
      <c r="N66" s="321">
        <v>0</v>
      </c>
      <c r="P66"/>
      <c r="Q66"/>
      <c r="R66" s="166"/>
    </row>
    <row r="67" spans="2:18" ht="15.6" x14ac:dyDescent="0.3">
      <c r="B67" s="118" t="s">
        <v>163</v>
      </c>
      <c r="C67" s="207"/>
      <c r="D67" s="208"/>
      <c r="E67" s="208"/>
      <c r="F67" s="319">
        <v>0</v>
      </c>
      <c r="G67" s="320">
        <v>0</v>
      </c>
      <c r="H67" s="320">
        <v>0</v>
      </c>
      <c r="I67" s="320">
        <v>0</v>
      </c>
      <c r="J67" s="320">
        <v>0</v>
      </c>
      <c r="K67" s="320">
        <v>0</v>
      </c>
      <c r="L67" s="320">
        <v>0</v>
      </c>
      <c r="M67" s="320">
        <v>0</v>
      </c>
      <c r="N67" s="321">
        <v>0</v>
      </c>
      <c r="P67"/>
      <c r="Q67"/>
      <c r="R67" s="166"/>
    </row>
    <row r="68" spans="2:18" ht="15.6" x14ac:dyDescent="0.3">
      <c r="B68" s="118" t="s">
        <v>170</v>
      </c>
      <c r="C68" s="207"/>
      <c r="D68" s="208"/>
      <c r="E68" s="208"/>
      <c r="F68" s="212">
        <f t="shared" ref="F68:G68" si="5">$C$61/12*(F66-F67)</f>
        <v>0</v>
      </c>
      <c r="G68" s="213">
        <f t="shared" si="5"/>
        <v>0</v>
      </c>
      <c r="H68" s="213">
        <f>$C$61/12*(H66-H67)</f>
        <v>0</v>
      </c>
      <c r="I68" s="213">
        <f t="shared" ref="I68:N68" si="6">$C$61/12*(I66-I67)</f>
        <v>0</v>
      </c>
      <c r="J68" s="213">
        <f t="shared" si="6"/>
        <v>0</v>
      </c>
      <c r="K68" s="213">
        <f t="shared" si="6"/>
        <v>0</v>
      </c>
      <c r="L68" s="213">
        <f t="shared" si="6"/>
        <v>0</v>
      </c>
      <c r="M68" s="213">
        <f t="shared" si="6"/>
        <v>0</v>
      </c>
      <c r="N68" s="214">
        <f t="shared" si="6"/>
        <v>0</v>
      </c>
      <c r="P68"/>
      <c r="Q68"/>
      <c r="R68" s="166"/>
    </row>
    <row r="69" spans="2:18" ht="15.6" x14ac:dyDescent="0.3">
      <c r="B69" s="118" t="s">
        <v>171</v>
      </c>
      <c r="C69" s="207"/>
      <c r="D69" s="208"/>
      <c r="E69" s="208"/>
      <c r="F69" s="212">
        <f>SUM($F$68:F68)</f>
        <v>0</v>
      </c>
      <c r="G69" s="213">
        <f>SUM($F$68:G68)</f>
        <v>0</v>
      </c>
      <c r="H69" s="213">
        <f>SUM($F$68:H68)</f>
        <v>0</v>
      </c>
      <c r="I69" s="213">
        <f>SUM($F$68:I68)</f>
        <v>0</v>
      </c>
      <c r="J69" s="213">
        <f>SUM($F$68:J68)</f>
        <v>0</v>
      </c>
      <c r="K69" s="213">
        <f>SUM($F$68:K68)</f>
        <v>0</v>
      </c>
      <c r="L69" s="213">
        <f>SUM($F$68:L68)</f>
        <v>0</v>
      </c>
      <c r="M69" s="213">
        <f>SUM($F$68:M68)</f>
        <v>0</v>
      </c>
      <c r="N69" s="214">
        <f>SUM($F$68:N68)</f>
        <v>0</v>
      </c>
      <c r="P69"/>
      <c r="Q69"/>
      <c r="R69" s="166"/>
    </row>
    <row r="70" spans="2:18" ht="15.6" x14ac:dyDescent="0.3">
      <c r="B70" s="118" t="s">
        <v>169</v>
      </c>
      <c r="C70" s="202"/>
      <c r="D70" s="203"/>
      <c r="E70" s="203"/>
      <c r="F70" s="215">
        <f>IF($C$59="No",'(1) Budget 2020'!I23,F69+'(1) Budget 2020'!$I$23)</f>
        <v>12500</v>
      </c>
      <c r="G70" s="216">
        <f>IF($C$59="No",'(1) Budget 2020'!J23,G69+'(1) Budget 2020'!$I$23)</f>
        <v>13020.833333333334</v>
      </c>
      <c r="H70" s="216">
        <f>IF($C$59="No",'(1) Budget 2020'!K23,H69+'(1) Budget 2020'!$I$23)</f>
        <v>13020.833333333334</v>
      </c>
      <c r="I70" s="216">
        <f>IF($C$59="No",'(1) Budget 2020'!L23,I69+'(1) Budget 2020'!$I$23)</f>
        <v>13020.833333333334</v>
      </c>
      <c r="J70" s="216">
        <f>IF($C$59="No",'(1) Budget 2020'!M23,J69+'(1) Budget 2020'!$I$23)</f>
        <v>13020.833333333334</v>
      </c>
      <c r="K70" s="216">
        <f>IF($C$59="No",'(1) Budget 2020'!N23,K69+'(1) Budget 2020'!$I$23)</f>
        <v>13020.833333333334</v>
      </c>
      <c r="L70" s="216">
        <f>IF($C$59="No",'(1) Budget 2020'!O23,L69+'(1) Budget 2020'!$I$23)</f>
        <v>13020.833333333334</v>
      </c>
      <c r="M70" s="216">
        <f>IF($C$59="No",'(1) Budget 2020'!P23,M69+'(1) Budget 2020'!$I$23)</f>
        <v>13020.833333333334</v>
      </c>
      <c r="N70" s="217">
        <f>IF($C$59="No",'(1) Budget 2020'!Q23,N69+'(1) Budget 2020'!$I$23)</f>
        <v>13020.833333333334</v>
      </c>
      <c r="P70"/>
      <c r="Q70"/>
      <c r="R70" s="166"/>
    </row>
    <row r="71" spans="2:18" ht="14.4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 s="166"/>
    </row>
    <row r="72" spans="2:18" ht="14.4" x14ac:dyDescent="0.3">
      <c r="P72"/>
      <c r="Q72"/>
    </row>
    <row r="73" spans="2:18" ht="14.4" x14ac:dyDescent="0.3">
      <c r="P73"/>
      <c r="Q73"/>
    </row>
    <row r="74" spans="2:18" ht="21" thickBot="1" x14ac:dyDescent="0.4">
      <c r="B74" s="103" t="s">
        <v>103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/>
      <c r="Q74"/>
    </row>
    <row r="75" spans="2:18" ht="14.4" x14ac:dyDescent="0.3">
      <c r="P75"/>
      <c r="Q75"/>
    </row>
    <row r="76" spans="2:18" ht="14.4" x14ac:dyDescent="0.3">
      <c r="B76" s="177" t="s">
        <v>183</v>
      </c>
      <c r="C76" s="315" t="s">
        <v>98</v>
      </c>
      <c r="P76"/>
      <c r="Q76"/>
    </row>
    <row r="77" spans="2:18" ht="14.4" x14ac:dyDescent="0.3">
      <c r="P77"/>
      <c r="Q77"/>
    </row>
    <row r="78" spans="2:18" ht="14.4" x14ac:dyDescent="0.3">
      <c r="B78" s="67" t="s">
        <v>113</v>
      </c>
      <c r="C78" s="193">
        <f>'(1) Budget 2020'!E108</f>
        <v>0.41666666666666669</v>
      </c>
      <c r="D78" s="67" t="s">
        <v>133</v>
      </c>
      <c r="E78"/>
      <c r="F78"/>
      <c r="P78"/>
      <c r="Q78"/>
    </row>
    <row r="79" spans="2:18" ht="14.4" x14ac:dyDescent="0.3">
      <c r="D79"/>
      <c r="E79"/>
      <c r="F79"/>
      <c r="P79"/>
      <c r="Q79"/>
    </row>
    <row r="80" spans="2:18" ht="14.4" x14ac:dyDescent="0.3">
      <c r="C80" s="394" t="s">
        <v>69</v>
      </c>
      <c r="D80" s="395"/>
      <c r="E80" s="396"/>
      <c r="F80" s="394" t="s">
        <v>145</v>
      </c>
      <c r="G80" s="395"/>
      <c r="H80" s="395"/>
      <c r="I80" s="395"/>
      <c r="J80" s="395"/>
      <c r="K80" s="395"/>
      <c r="L80" s="395"/>
      <c r="M80" s="395"/>
      <c r="N80" s="396"/>
      <c r="O80" s="105"/>
      <c r="P80"/>
      <c r="Q80"/>
    </row>
    <row r="81" spans="1:17" ht="17.399999999999999" x14ac:dyDescent="0.3">
      <c r="B81" s="106"/>
      <c r="C81" s="110" t="s">
        <v>72</v>
      </c>
      <c r="D81" s="69" t="s">
        <v>73</v>
      </c>
      <c r="E81" s="108" t="s">
        <v>74</v>
      </c>
      <c r="F81" s="107" t="s">
        <v>75</v>
      </c>
      <c r="G81" s="107" t="s">
        <v>76</v>
      </c>
      <c r="H81" s="107" t="s">
        <v>77</v>
      </c>
      <c r="I81" s="107" t="s">
        <v>78</v>
      </c>
      <c r="J81" s="107" t="s">
        <v>79</v>
      </c>
      <c r="K81" s="107" t="s">
        <v>80</v>
      </c>
      <c r="L81" s="107" t="s">
        <v>81</v>
      </c>
      <c r="M81" s="107" t="s">
        <v>82</v>
      </c>
      <c r="N81" s="107" t="s">
        <v>83</v>
      </c>
      <c r="O81" s="109" t="s">
        <v>70</v>
      </c>
      <c r="P81"/>
      <c r="Q81"/>
    </row>
    <row r="82" spans="1:17" ht="14.4" x14ac:dyDescent="0.3">
      <c r="B82" s="117" t="s">
        <v>184</v>
      </c>
      <c r="C82" s="194">
        <f>+'(1) Budget 2020'!F58</f>
        <v>0</v>
      </c>
      <c r="D82" s="195">
        <f>+'(1) Budget 2020'!G58</f>
        <v>0</v>
      </c>
      <c r="E82" s="196">
        <f>+'(1) Budget 2020'!H58</f>
        <v>0</v>
      </c>
      <c r="F82" s="218">
        <f>+'(1) Budget 2020'!I58</f>
        <v>100000</v>
      </c>
      <c r="G82" s="218">
        <f>+'(1) Budget 2020'!J58</f>
        <v>0</v>
      </c>
      <c r="H82" s="218">
        <f>+'(1) Budget 2020'!K58</f>
        <v>0</v>
      </c>
      <c r="I82" s="218">
        <f>+'(1) Budget 2020'!L58</f>
        <v>0</v>
      </c>
      <c r="J82" s="218">
        <f>+'(1) Budget 2020'!M58</f>
        <v>0</v>
      </c>
      <c r="K82" s="218">
        <f>+'(1) Budget 2020'!N58</f>
        <v>0</v>
      </c>
      <c r="L82" s="218">
        <f>+'(1) Budget 2020'!O58</f>
        <v>0</v>
      </c>
      <c r="M82" s="218">
        <f>+'(1) Budget 2020'!P58</f>
        <v>0</v>
      </c>
      <c r="N82" s="218">
        <f>+'(1) Budget 2020'!Q58</f>
        <v>0</v>
      </c>
      <c r="O82" s="219">
        <f>SUM(F82:N82)</f>
        <v>100000</v>
      </c>
      <c r="P82"/>
      <c r="Q82"/>
    </row>
    <row r="83" spans="1:17" ht="14.4" x14ac:dyDescent="0.3">
      <c r="B83" s="118" t="s">
        <v>186</v>
      </c>
      <c r="C83" s="220"/>
      <c r="D83" s="221"/>
      <c r="E83" s="222"/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322">
        <v>0</v>
      </c>
      <c r="O83" s="206">
        <f>SUM(F83:N83)</f>
        <v>0</v>
      </c>
      <c r="P83"/>
      <c r="Q83"/>
    </row>
    <row r="84" spans="1:17" ht="14.4" x14ac:dyDescent="0.3">
      <c r="B84" s="118" t="s">
        <v>192</v>
      </c>
      <c r="C84" s="223">
        <f>'(1) Budget 2020'!F58</f>
        <v>0</v>
      </c>
      <c r="D84" s="224">
        <f>'(1) Budget 2020'!G58</f>
        <v>0</v>
      </c>
      <c r="E84" s="225">
        <f>'(1) Budget 2020'!H58</f>
        <v>0</v>
      </c>
      <c r="F84" s="226">
        <f>IF($C$76="Yes",F83,F82)</f>
        <v>100000</v>
      </c>
      <c r="G84" s="226">
        <f t="shared" ref="G84:N84" si="7">IF($C$76="Yes",G83,G82)</f>
        <v>0</v>
      </c>
      <c r="H84" s="226">
        <f t="shared" si="7"/>
        <v>0</v>
      </c>
      <c r="I84" s="226">
        <f t="shared" si="7"/>
        <v>0</v>
      </c>
      <c r="J84" s="226">
        <f t="shared" si="7"/>
        <v>0</v>
      </c>
      <c r="K84" s="226">
        <f t="shared" si="7"/>
        <v>0</v>
      </c>
      <c r="L84" s="226">
        <f t="shared" si="7"/>
        <v>0</v>
      </c>
      <c r="M84" s="226">
        <f t="shared" si="7"/>
        <v>0</v>
      </c>
      <c r="N84" s="226">
        <f t="shared" si="7"/>
        <v>0</v>
      </c>
      <c r="O84" s="227">
        <f>SUM(F84:N84)</f>
        <v>100000</v>
      </c>
      <c r="P84"/>
      <c r="Q84"/>
    </row>
    <row r="85" spans="1:17" ht="14.4" x14ac:dyDescent="0.3">
      <c r="P85"/>
      <c r="Q85"/>
    </row>
    <row r="86" spans="1:17" ht="14.4" x14ac:dyDescent="0.3">
      <c r="F86" s="67" t="s">
        <v>185</v>
      </c>
      <c r="P86"/>
      <c r="Q86"/>
    </row>
    <row r="87" spans="1:17" ht="21.6" thickBot="1" x14ac:dyDescent="0.45">
      <c r="A87"/>
      <c r="B87" s="64" t="s">
        <v>27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/>
      <c r="Q87"/>
    </row>
    <row r="88" spans="1:17" ht="14.4" x14ac:dyDescent="0.3">
      <c r="A88"/>
      <c r="B88"/>
      <c r="C88"/>
      <c r="D88"/>
      <c r="E88" s="2"/>
      <c r="F88"/>
      <c r="G88" s="116"/>
      <c r="H88"/>
      <c r="I88"/>
      <c r="J88"/>
      <c r="K88"/>
      <c r="L88"/>
      <c r="M88"/>
      <c r="N88"/>
      <c r="O88"/>
      <c r="P88"/>
      <c r="Q88"/>
    </row>
    <row r="89" spans="1:17" ht="14.4" x14ac:dyDescent="0.3">
      <c r="A89"/>
      <c r="B89" s="177" t="s">
        <v>232</v>
      </c>
      <c r="C89" s="315" t="s">
        <v>98</v>
      </c>
      <c r="O89"/>
      <c r="P89"/>
      <c r="Q89"/>
    </row>
    <row r="90" spans="1:17" ht="14.4" x14ac:dyDescent="0.3">
      <c r="A90"/>
      <c r="O90"/>
      <c r="P90"/>
      <c r="Q90"/>
    </row>
    <row r="91" spans="1:17" ht="14.4" x14ac:dyDescent="0.3">
      <c r="A91"/>
      <c r="C91" s="394" t="s">
        <v>69</v>
      </c>
      <c r="D91" s="395"/>
      <c r="E91" s="396"/>
      <c r="F91" s="394" t="s">
        <v>145</v>
      </c>
      <c r="G91" s="395"/>
      <c r="H91" s="395"/>
      <c r="I91" s="395"/>
      <c r="J91" s="395"/>
      <c r="K91" s="395"/>
      <c r="L91" s="395"/>
      <c r="M91" s="395"/>
      <c r="N91" s="396"/>
      <c r="O91"/>
      <c r="P91"/>
      <c r="Q91"/>
    </row>
    <row r="92" spans="1:17" ht="17.399999999999999" x14ac:dyDescent="0.3">
      <c r="A92"/>
      <c r="B92" s="106"/>
      <c r="C92" s="110" t="s">
        <v>72</v>
      </c>
      <c r="D92" s="69" t="s">
        <v>73</v>
      </c>
      <c r="E92" s="108" t="s">
        <v>74</v>
      </c>
      <c r="F92" s="107" t="s">
        <v>75</v>
      </c>
      <c r="G92" s="107" t="s">
        <v>76</v>
      </c>
      <c r="H92" s="107" t="s">
        <v>77</v>
      </c>
      <c r="I92" s="107" t="s">
        <v>78</v>
      </c>
      <c r="J92" s="107" t="s">
        <v>79</v>
      </c>
      <c r="K92" s="107" t="s">
        <v>80</v>
      </c>
      <c r="L92" s="107" t="s">
        <v>81</v>
      </c>
      <c r="M92" s="107" t="s">
        <v>82</v>
      </c>
      <c r="N92" s="172" t="s">
        <v>83</v>
      </c>
      <c r="O92"/>
      <c r="P92"/>
      <c r="Q92"/>
    </row>
    <row r="93" spans="1:17" ht="14.4" x14ac:dyDescent="0.3">
      <c r="A93"/>
      <c r="B93" s="117" t="s">
        <v>152</v>
      </c>
      <c r="C93" s="194">
        <f>'(1) Budget 2020'!F35</f>
        <v>1413356.1643835618</v>
      </c>
      <c r="D93" s="195">
        <f>'(1) Budget 2020'!G35</f>
        <v>1337157.0651154066</v>
      </c>
      <c r="E93" s="196">
        <f>'(1) Budget 2020'!H35</f>
        <v>1270143.6106905357</v>
      </c>
      <c r="F93" s="197">
        <f>'(1) Budget 2020'!I35</f>
        <v>1211208.4904977041</v>
      </c>
      <c r="G93" s="197">
        <f>'(1) Budget 2020'!J35</f>
        <v>1222163.2660724102</v>
      </c>
      <c r="H93" s="197">
        <f>'(1) Budget 2020'!K35</f>
        <v>1260336.2787467863</v>
      </c>
      <c r="I93" s="197">
        <f>'(1) Budget 2020'!L35</f>
        <v>1293907.6131809636</v>
      </c>
      <c r="J93" s="197">
        <f>'(1) Budget 2020'!M35</f>
        <v>1323431.992231295</v>
      </c>
      <c r="K93" s="197">
        <f>'(1) Budget 2020'!N35</f>
        <v>1533044.5283276138</v>
      </c>
      <c r="L93" s="197">
        <f>'(1) Budget 2020'!O35</f>
        <v>1533741.4436342393</v>
      </c>
      <c r="M93" s="197">
        <f>'(1) Budget 2020'!P35</f>
        <v>1534354.3472326689</v>
      </c>
      <c r="N93" s="228">
        <f>'(1) Budget 2020'!Q35</f>
        <v>1650832.293502338</v>
      </c>
      <c r="O93"/>
      <c r="P93"/>
      <c r="Q93"/>
    </row>
    <row r="94" spans="1:17" ht="14.4" x14ac:dyDescent="0.3">
      <c r="A94"/>
      <c r="B94" s="117" t="s">
        <v>237</v>
      </c>
      <c r="C94" s="207"/>
      <c r="D94" s="208"/>
      <c r="E94" s="382"/>
      <c r="F94" s="197">
        <f>(E16+F16)/2*12/365*F95</f>
        <v>1211208.4904977044</v>
      </c>
      <c r="G94" s="197">
        <f t="shared" ref="G94:N94" si="8">(F16+G16)/2*12/365*G95</f>
        <v>1222163.2660724102</v>
      </c>
      <c r="H94" s="197">
        <f t="shared" si="8"/>
        <v>1260336.2787467863</v>
      </c>
      <c r="I94" s="197">
        <f t="shared" si="8"/>
        <v>1293907.6131809636</v>
      </c>
      <c r="J94" s="197">
        <f t="shared" si="8"/>
        <v>1323431.992231295</v>
      </c>
      <c r="K94" s="197">
        <f t="shared" si="8"/>
        <v>1533044.5283276138</v>
      </c>
      <c r="L94" s="197">
        <f t="shared" si="8"/>
        <v>1533741.4436342393</v>
      </c>
      <c r="M94" s="197">
        <f t="shared" si="8"/>
        <v>1534354.3472326687</v>
      </c>
      <c r="N94" s="228">
        <f t="shared" si="8"/>
        <v>1650832.293502338</v>
      </c>
      <c r="O94"/>
      <c r="P94"/>
      <c r="Q94"/>
    </row>
    <row r="95" spans="1:17" ht="14.4" x14ac:dyDescent="0.3">
      <c r="A95"/>
      <c r="B95" s="130" t="s">
        <v>178</v>
      </c>
      <c r="C95" s="133">
        <f>'(1) Budget 2020'!F110</f>
        <v>55.026666666666678</v>
      </c>
      <c r="D95" s="127">
        <f>'(1) Budget 2020'!G110</f>
        <v>52.059981735159838</v>
      </c>
      <c r="E95" s="134">
        <f>'(1) Budget 2020'!H110</f>
        <v>49.450924576218192</v>
      </c>
      <c r="F95" s="129">
        <f>'(1) Budget 2020'!I110</f>
        <v>47.156383896710622</v>
      </c>
      <c r="G95" s="129">
        <f>'(1) Budget 2020'!J110</f>
        <v>40.785334136359289</v>
      </c>
      <c r="H95" s="129">
        <f>'(1) Budget 2020'!K110</f>
        <v>36.801819339406158</v>
      </c>
      <c r="I95" s="129">
        <f>'(1) Budget 2020'!L110</f>
        <v>37.782102304884134</v>
      </c>
      <c r="J95" s="129">
        <f>'(1) Budget 2020'!M110</f>
        <v>38.644214173153813</v>
      </c>
      <c r="K95" s="129">
        <f>'(1) Budget 2020'!N110</f>
        <v>29.943077075027642</v>
      </c>
      <c r="L95" s="129">
        <f>'(1) Budget 2020'!O110</f>
        <v>29.956689066300861</v>
      </c>
      <c r="M95" s="129">
        <f>'(1) Budget 2020'!P110</f>
        <v>44.80314693919393</v>
      </c>
      <c r="N95" s="132">
        <f>'(1) Budget 2020'!Q110</f>
        <v>36.727087977347253</v>
      </c>
      <c r="O95"/>
      <c r="P95"/>
      <c r="Q95"/>
    </row>
    <row r="96" spans="1:17" ht="14.4" x14ac:dyDescent="0.3">
      <c r="A96"/>
      <c r="B96" s="131" t="s">
        <v>234</v>
      </c>
      <c r="C96" s="199"/>
      <c r="D96" s="200"/>
      <c r="E96" s="201"/>
      <c r="F96" s="316">
        <v>0</v>
      </c>
      <c r="G96" s="316">
        <v>0</v>
      </c>
      <c r="H96" s="316">
        <v>0</v>
      </c>
      <c r="I96" s="316">
        <v>0</v>
      </c>
      <c r="J96" s="316">
        <v>0</v>
      </c>
      <c r="K96" s="316">
        <v>0</v>
      </c>
      <c r="L96" s="316">
        <v>0</v>
      </c>
      <c r="M96" s="316">
        <v>0</v>
      </c>
      <c r="N96" s="323">
        <v>0</v>
      </c>
      <c r="O96"/>
      <c r="P96"/>
      <c r="Q96"/>
    </row>
    <row r="97" spans="1:17" ht="14.4" x14ac:dyDescent="0.3">
      <c r="A97"/>
      <c r="B97" s="118" t="s">
        <v>153</v>
      </c>
      <c r="C97" s="202">
        <f>C93</f>
        <v>1413356.1643835618</v>
      </c>
      <c r="D97" s="203">
        <f>D93</f>
        <v>1337157.0651154066</v>
      </c>
      <c r="E97" s="204">
        <f>E93</f>
        <v>1270143.6106905357</v>
      </c>
      <c r="F97" s="205">
        <f>IF($C$89="No",F93,F94/F95*(F95+F96))</f>
        <v>1211208.4904977041</v>
      </c>
      <c r="G97" s="205">
        <f t="shared" ref="G97:N97" si="9">IF($C$89="No",G93,G94/G95*(G95+G96))</f>
        <v>1222163.2660724102</v>
      </c>
      <c r="H97" s="205">
        <f t="shared" si="9"/>
        <v>1260336.2787467863</v>
      </c>
      <c r="I97" s="205">
        <f t="shared" si="9"/>
        <v>1293907.6131809636</v>
      </c>
      <c r="J97" s="205">
        <f t="shared" si="9"/>
        <v>1323431.992231295</v>
      </c>
      <c r="K97" s="205">
        <f t="shared" si="9"/>
        <v>1533044.5283276138</v>
      </c>
      <c r="L97" s="205">
        <f t="shared" si="9"/>
        <v>1533741.4436342393</v>
      </c>
      <c r="M97" s="205">
        <f t="shared" si="9"/>
        <v>1534354.3472326689</v>
      </c>
      <c r="N97" s="229">
        <f t="shared" si="9"/>
        <v>1650832.293502338</v>
      </c>
      <c r="O97"/>
      <c r="P97"/>
      <c r="Q97"/>
    </row>
    <row r="98" spans="1:17" ht="14.4" x14ac:dyDescent="0.3">
      <c r="A98"/>
      <c r="B98"/>
      <c r="C98"/>
      <c r="D98"/>
      <c r="E98"/>
      <c r="F98"/>
      <c r="G98" s="116"/>
      <c r="H98"/>
      <c r="I98"/>
      <c r="J98"/>
      <c r="K98"/>
      <c r="L98"/>
      <c r="M98"/>
      <c r="N98"/>
      <c r="O98"/>
      <c r="P98"/>
      <c r="Q98"/>
    </row>
    <row r="99" spans="1:17" ht="21.6" thickBot="1" x14ac:dyDescent="0.45">
      <c r="A99"/>
      <c r="B99" s="64" t="s">
        <v>28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/>
      <c r="Q99"/>
    </row>
    <row r="100" spans="1:17" ht="14.4" x14ac:dyDescent="0.3">
      <c r="A100"/>
      <c r="B100"/>
      <c r="C100"/>
      <c r="D100"/>
      <c r="E100"/>
      <c r="F100"/>
      <c r="G100" s="116"/>
      <c r="H100"/>
      <c r="I100"/>
      <c r="J100"/>
      <c r="K100"/>
      <c r="L100"/>
      <c r="M100"/>
      <c r="N100"/>
      <c r="O100"/>
      <c r="P100"/>
      <c r="Q100"/>
    </row>
    <row r="101" spans="1:17" ht="14.4" x14ac:dyDescent="0.3">
      <c r="A101"/>
      <c r="B101" s="177" t="s">
        <v>187</v>
      </c>
      <c r="C101" s="315" t="s">
        <v>98</v>
      </c>
      <c r="O101"/>
      <c r="P101"/>
      <c r="Q101"/>
    </row>
    <row r="102" spans="1:17" ht="14.4" x14ac:dyDescent="0.3">
      <c r="A102"/>
      <c r="O102"/>
      <c r="P102"/>
      <c r="Q102"/>
    </row>
    <row r="103" spans="1:17" ht="14.4" x14ac:dyDescent="0.3">
      <c r="A103"/>
      <c r="C103" s="394" t="s">
        <v>69</v>
      </c>
      <c r="D103" s="395"/>
      <c r="E103" s="396"/>
      <c r="F103" s="394" t="s">
        <v>145</v>
      </c>
      <c r="G103" s="395"/>
      <c r="H103" s="395"/>
      <c r="I103" s="395"/>
      <c r="J103" s="395"/>
      <c r="K103" s="395"/>
      <c r="L103" s="395"/>
      <c r="M103" s="395"/>
      <c r="N103" s="396"/>
      <c r="O103"/>
      <c r="P103"/>
      <c r="Q103"/>
    </row>
    <row r="104" spans="1:17" ht="17.399999999999999" x14ac:dyDescent="0.3">
      <c r="A104"/>
      <c r="B104" s="106"/>
      <c r="C104" s="110" t="s">
        <v>72</v>
      </c>
      <c r="D104" s="69" t="s">
        <v>73</v>
      </c>
      <c r="E104" s="108" t="s">
        <v>74</v>
      </c>
      <c r="F104" s="107" t="s">
        <v>75</v>
      </c>
      <c r="G104" s="107" t="s">
        <v>76</v>
      </c>
      <c r="H104" s="107" t="s">
        <v>77</v>
      </c>
      <c r="I104" s="107" t="s">
        <v>78</v>
      </c>
      <c r="J104" s="107" t="s">
        <v>79</v>
      </c>
      <c r="K104" s="107" t="s">
        <v>80</v>
      </c>
      <c r="L104" s="107" t="s">
        <v>81</v>
      </c>
      <c r="M104" s="107" t="s">
        <v>82</v>
      </c>
      <c r="N104" s="172" t="s">
        <v>83</v>
      </c>
      <c r="O104"/>
      <c r="P104" s="314"/>
      <c r="Q104" s="313"/>
    </row>
    <row r="105" spans="1:17" ht="14.4" x14ac:dyDescent="0.3">
      <c r="A105"/>
      <c r="B105" s="117" t="s">
        <v>176</v>
      </c>
      <c r="C105" s="194">
        <f>'(1) Budget 2020'!F36</f>
        <v>2500000</v>
      </c>
      <c r="D105" s="195">
        <f>'(1) Budget 2020'!G36</f>
        <v>2500000</v>
      </c>
      <c r="E105" s="196">
        <f>'(1) Budget 2020'!H36</f>
        <v>2500000</v>
      </c>
      <c r="F105" s="197">
        <f>'(1) Budget 2020'!I36</f>
        <v>2500000</v>
      </c>
      <c r="G105" s="197">
        <f>'(1) Budget 2020'!J36</f>
        <v>2500000</v>
      </c>
      <c r="H105" s="197">
        <f>'(1) Budget 2020'!K36</f>
        <v>2500000</v>
      </c>
      <c r="I105" s="197">
        <f>'(1) Budget 2020'!L36</f>
        <v>2500000</v>
      </c>
      <c r="J105" s="197">
        <f>'(1) Budget 2020'!M36</f>
        <v>2500000</v>
      </c>
      <c r="K105" s="197">
        <f>'(1) Budget 2020'!N36</f>
        <v>2500000</v>
      </c>
      <c r="L105" s="197">
        <f>'(1) Budget 2020'!O36</f>
        <v>2500000</v>
      </c>
      <c r="M105" s="197">
        <f>'(1) Budget 2020'!P36</f>
        <v>2500000</v>
      </c>
      <c r="N105" s="228">
        <f>'(1) Budget 2020'!Q36</f>
        <v>2500000</v>
      </c>
      <c r="O105"/>
      <c r="P105" s="314"/>
      <c r="Q105" s="313"/>
    </row>
    <row r="106" spans="1:17" ht="14.4" x14ac:dyDescent="0.3">
      <c r="A106"/>
      <c r="B106" s="130" t="s">
        <v>177</v>
      </c>
      <c r="C106" s="133">
        <f>C105/'(1) Budget 2020'!$R$13*365</f>
        <v>69.44114149821641</v>
      </c>
      <c r="D106" s="127">
        <f>D105/'(1) Budget 2020'!$R$13*365</f>
        <v>69.44114149821641</v>
      </c>
      <c r="E106" s="134">
        <f>E105/'(1) Budget 2020'!$R$13*365</f>
        <v>69.44114149821641</v>
      </c>
      <c r="F106" s="129">
        <f>F105/'(1) Budget 2020'!$R$13*365</f>
        <v>69.44114149821641</v>
      </c>
      <c r="G106" s="129">
        <f>G105/'(1) Budget 2020'!$R$13*365</f>
        <v>69.44114149821641</v>
      </c>
      <c r="H106" s="129">
        <f>H105/'(1) Budget 2020'!$R$13*365</f>
        <v>69.44114149821641</v>
      </c>
      <c r="I106" s="129">
        <f>I105/'(1) Budget 2020'!$R$13*365</f>
        <v>69.44114149821641</v>
      </c>
      <c r="J106" s="129">
        <f>J105/'(1) Budget 2020'!$R$13*365</f>
        <v>69.44114149821641</v>
      </c>
      <c r="K106" s="129">
        <f>K105/'(1) Budget 2020'!$R$13*365</f>
        <v>69.44114149821641</v>
      </c>
      <c r="L106" s="129">
        <f>L105/'(1) Budget 2020'!$R$13*365</f>
        <v>69.44114149821641</v>
      </c>
      <c r="M106" s="129">
        <f>M105/'(1) Budget 2020'!$R$13*365</f>
        <v>69.44114149821641</v>
      </c>
      <c r="N106" s="132">
        <f>N105/'(1) Budget 2020'!$R$13*365</f>
        <v>69.44114149821641</v>
      </c>
      <c r="O106"/>
      <c r="P106" s="314"/>
      <c r="Q106" s="313"/>
    </row>
    <row r="107" spans="1:17" ht="14.4" x14ac:dyDescent="0.3">
      <c r="A107"/>
      <c r="B107" s="131" t="s">
        <v>179</v>
      </c>
      <c r="C107" s="231"/>
      <c r="D107" s="127"/>
      <c r="E107" s="232"/>
      <c r="F107" s="316">
        <v>0</v>
      </c>
      <c r="G107" s="316">
        <v>0</v>
      </c>
      <c r="H107" s="316">
        <v>0</v>
      </c>
      <c r="I107" s="316">
        <v>0</v>
      </c>
      <c r="J107" s="316">
        <v>0</v>
      </c>
      <c r="K107" s="316">
        <v>0</v>
      </c>
      <c r="L107" s="316">
        <v>0</v>
      </c>
      <c r="M107" s="316">
        <v>0</v>
      </c>
      <c r="N107" s="323">
        <v>0</v>
      </c>
      <c r="O107"/>
      <c r="P107" s="314"/>
      <c r="Q107" s="313"/>
    </row>
    <row r="108" spans="1:17" ht="14.4" x14ac:dyDescent="0.3">
      <c r="A108"/>
      <c r="B108" s="230" t="s">
        <v>189</v>
      </c>
      <c r="C108" s="199"/>
      <c r="D108" s="200"/>
      <c r="E108" s="201"/>
      <c r="F108" s="317">
        <v>0</v>
      </c>
      <c r="G108" s="317">
        <v>0</v>
      </c>
      <c r="H108" s="317">
        <v>0</v>
      </c>
      <c r="I108" s="317">
        <v>0</v>
      </c>
      <c r="J108" s="317">
        <v>0</v>
      </c>
      <c r="K108" s="317">
        <v>0</v>
      </c>
      <c r="L108" s="317">
        <v>0</v>
      </c>
      <c r="M108" s="317">
        <v>0</v>
      </c>
      <c r="N108" s="324">
        <v>0</v>
      </c>
      <c r="O108"/>
      <c r="P108" s="314"/>
      <c r="Q108" s="313"/>
    </row>
    <row r="109" spans="1:17" ht="14.4" x14ac:dyDescent="0.3">
      <c r="A109"/>
      <c r="B109" s="118" t="s">
        <v>180</v>
      </c>
      <c r="C109" s="202">
        <f>C105</f>
        <v>2500000</v>
      </c>
      <c r="D109" s="203">
        <f>D105</f>
        <v>2500000</v>
      </c>
      <c r="E109" s="204">
        <f>E105</f>
        <v>2500000</v>
      </c>
      <c r="F109" s="205">
        <f>IF(C101="No",F105,'(1) Budget 2020'!$R$13/365*(F106+F107))</f>
        <v>2500000</v>
      </c>
      <c r="G109" s="205">
        <f>IF(D101="No",G105,'(1) Budget 2020'!$R$13/365*(G106+G107))</f>
        <v>2500000</v>
      </c>
      <c r="H109" s="205">
        <f>IF(E101="No",H105,'(1) Budget 2020'!$R$13/365*(H106+H107))</f>
        <v>2500000</v>
      </c>
      <c r="I109" s="205">
        <f>IF(F101="No",I105,'(1) Budget 2020'!$R$13/365*(I106+I107))</f>
        <v>2500000</v>
      </c>
      <c r="J109" s="205">
        <f>IF(G101="No",J105,'(1) Budget 2020'!$R$13/365*(J106+J107))</f>
        <v>2500000</v>
      </c>
      <c r="K109" s="205">
        <f>IF(H101="No",K105,'(1) Budget 2020'!$R$13/365*(K106+K107))</f>
        <v>2500000</v>
      </c>
      <c r="L109" s="205">
        <f>IF(I101="No",L105,'(1) Budget 2020'!$R$13/365*(L106+L107))</f>
        <v>2500000</v>
      </c>
      <c r="M109" s="205">
        <f>IF(J101="No",M105,'(1) Budget 2020'!$R$13/365*(M106+M107))</f>
        <v>2500000</v>
      </c>
      <c r="N109" s="229">
        <f>IF(K101="No",N105,'(1) Budget 2020'!$R$13/365*(N106+N107))</f>
        <v>2500000</v>
      </c>
      <c r="O109"/>
      <c r="P109" s="314"/>
      <c r="Q109" s="313"/>
    </row>
    <row r="110" spans="1:17" ht="14.4" x14ac:dyDescent="0.3">
      <c r="A110"/>
      <c r="B110"/>
      <c r="C110"/>
      <c r="D110"/>
      <c r="E110"/>
      <c r="F110"/>
      <c r="G110" s="116"/>
      <c r="H110"/>
      <c r="I110"/>
      <c r="J110"/>
      <c r="K110"/>
      <c r="L110"/>
      <c r="M110"/>
      <c r="N110"/>
      <c r="O110"/>
      <c r="P110" s="314"/>
      <c r="Q110" s="313"/>
    </row>
    <row r="111" spans="1:17" ht="14.4" x14ac:dyDescent="0.3">
      <c r="A111"/>
      <c r="B111"/>
      <c r="C111"/>
      <c r="D111"/>
      <c r="E111"/>
      <c r="F111"/>
      <c r="G111" s="116"/>
      <c r="H111"/>
      <c r="I111"/>
      <c r="J111"/>
      <c r="K111"/>
      <c r="L111"/>
      <c r="M111"/>
      <c r="N111"/>
      <c r="O111"/>
      <c r="P111"/>
      <c r="Q111"/>
    </row>
    <row r="112" spans="1:17" ht="21.6" thickBot="1" x14ac:dyDescent="0.45">
      <c r="A112"/>
      <c r="B112" s="64" t="s">
        <v>32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/>
      <c r="Q112"/>
    </row>
    <row r="113" spans="1:17" ht="14.4" x14ac:dyDescent="0.3">
      <c r="A113"/>
      <c r="B113"/>
      <c r="C113"/>
      <c r="D113"/>
      <c r="E113"/>
      <c r="F113"/>
      <c r="G113" s="116"/>
      <c r="H113"/>
      <c r="I113"/>
      <c r="J113"/>
      <c r="K113"/>
      <c r="L113"/>
      <c r="M113"/>
      <c r="N113"/>
      <c r="O113"/>
      <c r="P113"/>
      <c r="Q113"/>
    </row>
    <row r="114" spans="1:17" ht="14.4" x14ac:dyDescent="0.3">
      <c r="A114"/>
      <c r="B114" s="1" t="s">
        <v>233</v>
      </c>
      <c r="C114" s="325" t="s">
        <v>98</v>
      </c>
      <c r="D114"/>
      <c r="E114"/>
      <c r="F114"/>
      <c r="G114" s="116"/>
      <c r="H114"/>
      <c r="I114"/>
      <c r="J114"/>
      <c r="K114"/>
      <c r="L114"/>
      <c r="M114"/>
      <c r="N114"/>
      <c r="O114"/>
      <c r="P114"/>
      <c r="Q114"/>
    </row>
    <row r="115" spans="1:17" ht="14.4" x14ac:dyDescent="0.3">
      <c r="A115"/>
      <c r="B115"/>
      <c r="C115"/>
      <c r="D115"/>
      <c r="E115"/>
      <c r="F115"/>
      <c r="G115" s="116"/>
      <c r="H115"/>
      <c r="I115"/>
      <c r="J115"/>
      <c r="K115"/>
      <c r="L115"/>
      <c r="M115"/>
      <c r="N115"/>
      <c r="O115"/>
      <c r="P115"/>
      <c r="Q115"/>
    </row>
    <row r="116" spans="1:17" ht="14.4" x14ac:dyDescent="0.3">
      <c r="A116"/>
      <c r="C116" s="394" t="s">
        <v>69</v>
      </c>
      <c r="D116" s="395"/>
      <c r="E116" s="396"/>
      <c r="F116" s="394" t="s">
        <v>145</v>
      </c>
      <c r="G116" s="395"/>
      <c r="H116" s="395"/>
      <c r="I116" s="395"/>
      <c r="J116" s="395"/>
      <c r="K116" s="395"/>
      <c r="L116" s="395"/>
      <c r="M116" s="395"/>
      <c r="N116" s="396"/>
      <c r="O116"/>
      <c r="P116"/>
      <c r="Q116"/>
    </row>
    <row r="117" spans="1:17" ht="17.399999999999999" x14ac:dyDescent="0.3">
      <c r="A117"/>
      <c r="B117" s="106"/>
      <c r="C117" s="110" t="s">
        <v>72</v>
      </c>
      <c r="D117" s="69" t="s">
        <v>73</v>
      </c>
      <c r="E117" s="108" t="s">
        <v>74</v>
      </c>
      <c r="F117" s="107" t="s">
        <v>75</v>
      </c>
      <c r="G117" s="107" t="s">
        <v>76</v>
      </c>
      <c r="H117" s="107" t="s">
        <v>77</v>
      </c>
      <c r="I117" s="107" t="s">
        <v>78</v>
      </c>
      <c r="J117" s="107" t="s">
        <v>79</v>
      </c>
      <c r="K117" s="107" t="s">
        <v>80</v>
      </c>
      <c r="L117" s="107" t="s">
        <v>81</v>
      </c>
      <c r="M117" s="107" t="s">
        <v>82</v>
      </c>
      <c r="N117" s="172" t="s">
        <v>83</v>
      </c>
      <c r="O117"/>
      <c r="P117"/>
      <c r="Q117"/>
    </row>
    <row r="118" spans="1:17" ht="14.4" x14ac:dyDescent="0.3">
      <c r="A118"/>
      <c r="B118" s="117" t="s">
        <v>155</v>
      </c>
      <c r="C118" s="194">
        <f>'(1) Budget 2020'!F41</f>
        <v>800000</v>
      </c>
      <c r="D118" s="195">
        <f>'(1) Budget 2020'!G41</f>
        <v>800000</v>
      </c>
      <c r="E118" s="196">
        <f>'(1) Budget 2020'!H41</f>
        <v>800000</v>
      </c>
      <c r="F118" s="197">
        <f>'(1) Budget 2020'!I41</f>
        <v>800000</v>
      </c>
      <c r="G118" s="197">
        <f>'(1) Budget 2020'!J41</f>
        <v>800000</v>
      </c>
      <c r="H118" s="197">
        <f>'(1) Budget 2020'!K41</f>
        <v>800000</v>
      </c>
      <c r="I118" s="197">
        <f>'(1) Budget 2020'!L41</f>
        <v>800000</v>
      </c>
      <c r="J118" s="197">
        <f>'(1) Budget 2020'!M41</f>
        <v>800000</v>
      </c>
      <c r="K118" s="197">
        <f>'(1) Budget 2020'!N41</f>
        <v>800000</v>
      </c>
      <c r="L118" s="197">
        <f>'(1) Budget 2020'!O41</f>
        <v>800000</v>
      </c>
      <c r="M118" s="197">
        <f>'(1) Budget 2020'!P41</f>
        <v>800000</v>
      </c>
      <c r="N118" s="228">
        <f>'(1) Budget 2020'!Q41</f>
        <v>800000</v>
      </c>
      <c r="O118"/>
      <c r="P118"/>
      <c r="Q118"/>
    </row>
    <row r="119" spans="1:17" ht="14.4" x14ac:dyDescent="0.3">
      <c r="A119"/>
      <c r="B119" s="117" t="s">
        <v>236</v>
      </c>
      <c r="C119" s="207"/>
      <c r="D119" s="208"/>
      <c r="E119" s="382"/>
      <c r="F119" s="197">
        <f>(F29+F54+E54+E29)/2*12/365*F120</f>
        <v>799999.99999999988</v>
      </c>
      <c r="G119" s="197">
        <f t="shared" ref="G119:N119" si="10">(G29+G54+F54+F29)/2*12/365*G120</f>
        <v>799999.99999999988</v>
      </c>
      <c r="H119" s="197">
        <f t="shared" si="10"/>
        <v>799999.99999999988</v>
      </c>
      <c r="I119" s="197">
        <f t="shared" si="10"/>
        <v>799999.99999999988</v>
      </c>
      <c r="J119" s="197">
        <f t="shared" si="10"/>
        <v>799999.99999999988</v>
      </c>
      <c r="K119" s="197">
        <f t="shared" si="10"/>
        <v>799999.99999999988</v>
      </c>
      <c r="L119" s="197">
        <f t="shared" si="10"/>
        <v>799999.99999999988</v>
      </c>
      <c r="M119" s="197">
        <f t="shared" si="10"/>
        <v>799999.99999999988</v>
      </c>
      <c r="N119" s="228">
        <f t="shared" si="10"/>
        <v>799999.99999999988</v>
      </c>
      <c r="O119"/>
      <c r="P119"/>
      <c r="Q119"/>
    </row>
    <row r="120" spans="1:17" ht="14.4" x14ac:dyDescent="0.3">
      <c r="A120"/>
      <c r="B120" s="135" t="s">
        <v>157</v>
      </c>
      <c r="C120" s="133">
        <f>'(1) Budget 2020'!F112</f>
        <v>30.337662337662337</v>
      </c>
      <c r="D120" s="127">
        <f>'(1) Budget 2020'!G112</f>
        <v>30.337662337662337</v>
      </c>
      <c r="E120" s="134">
        <f>'(1) Budget 2020'!H112</f>
        <v>30.337662337662337</v>
      </c>
      <c r="F120" s="136">
        <f>'(1) Budget 2020'!I112</f>
        <v>30.337662337662337</v>
      </c>
      <c r="G120" s="129">
        <f>'(1) Budget 2020'!J112</f>
        <v>27.644970414201183</v>
      </c>
      <c r="H120" s="129">
        <f>'(1) Budget 2020'!K112</f>
        <v>25.391304347826086</v>
      </c>
      <c r="I120" s="129">
        <f>'(1) Budget 2020'!L112</f>
        <v>25.391304347826086</v>
      </c>
      <c r="J120" s="129">
        <f>'(1) Budget 2020'!M112</f>
        <v>25.391304347826086</v>
      </c>
      <c r="K120" s="129">
        <f>'(1) Budget 2020'!N112</f>
        <v>19.194741166803613</v>
      </c>
      <c r="L120" s="129">
        <f>'(1) Budget 2020'!O112</f>
        <v>19.194741166803613</v>
      </c>
      <c r="M120" s="129">
        <f>'(1) Budget 2020'!P112</f>
        <v>25.391304347826086</v>
      </c>
      <c r="N120" s="132">
        <f>'(1) Budget 2020'!Q112</f>
        <v>21.092550790067719</v>
      </c>
      <c r="O120"/>
      <c r="P120"/>
      <c r="Q120"/>
    </row>
    <row r="121" spans="1:17" ht="14.4" x14ac:dyDescent="0.3">
      <c r="A121"/>
      <c r="B121" s="131" t="s">
        <v>235</v>
      </c>
      <c r="C121" s="199"/>
      <c r="D121" s="200"/>
      <c r="E121" s="201"/>
      <c r="F121" s="326">
        <v>0</v>
      </c>
      <c r="G121" s="326">
        <v>0</v>
      </c>
      <c r="H121" s="326">
        <v>0</v>
      </c>
      <c r="I121" s="326">
        <v>0</v>
      </c>
      <c r="J121" s="326">
        <v>0</v>
      </c>
      <c r="K121" s="326">
        <v>0</v>
      </c>
      <c r="L121" s="326">
        <v>0</v>
      </c>
      <c r="M121" s="326">
        <v>0</v>
      </c>
      <c r="N121" s="327">
        <v>0</v>
      </c>
      <c r="O121"/>
      <c r="P121"/>
      <c r="Q121"/>
    </row>
    <row r="122" spans="1:17" ht="14.4" x14ac:dyDescent="0.3">
      <c r="A122"/>
      <c r="B122" s="118" t="s">
        <v>156</v>
      </c>
      <c r="C122" s="202">
        <f>C118</f>
        <v>800000</v>
      </c>
      <c r="D122" s="203">
        <f>D118</f>
        <v>800000</v>
      </c>
      <c r="E122" s="204">
        <f>E118</f>
        <v>800000</v>
      </c>
      <c r="F122" s="205">
        <f>IF($C$114="No",F118,F119/F120*(F120+F121))</f>
        <v>800000</v>
      </c>
      <c r="G122" s="205">
        <f t="shared" ref="G122:N122" si="11">IF($C$114="No",G118,G119/G120*(G120+G121))</f>
        <v>800000</v>
      </c>
      <c r="H122" s="205">
        <f t="shared" si="11"/>
        <v>800000</v>
      </c>
      <c r="I122" s="205">
        <f t="shared" si="11"/>
        <v>800000</v>
      </c>
      <c r="J122" s="205">
        <f t="shared" si="11"/>
        <v>800000</v>
      </c>
      <c r="K122" s="205">
        <f t="shared" si="11"/>
        <v>800000</v>
      </c>
      <c r="L122" s="205">
        <f t="shared" si="11"/>
        <v>800000</v>
      </c>
      <c r="M122" s="205">
        <f t="shared" si="11"/>
        <v>800000</v>
      </c>
      <c r="N122" s="229">
        <f t="shared" si="11"/>
        <v>800000</v>
      </c>
      <c r="O122"/>
      <c r="P122"/>
      <c r="Q122"/>
    </row>
    <row r="123" spans="1:17" ht="14.4" x14ac:dyDescent="0.3">
      <c r="A123"/>
      <c r="B123"/>
      <c r="C123" s="349"/>
      <c r="D123" s="349"/>
      <c r="E123" s="349"/>
      <c r="F123" s="349"/>
      <c r="G123" s="350"/>
      <c r="H123" s="349"/>
      <c r="I123" s="349"/>
      <c r="J123" s="349"/>
      <c r="K123" s="349"/>
      <c r="L123" s="349"/>
      <c r="M123" s="349"/>
      <c r="N123" s="349"/>
      <c r="O123"/>
      <c r="P123"/>
      <c r="Q123"/>
    </row>
    <row r="124" spans="1:17" ht="14.4" x14ac:dyDescent="0.3">
      <c r="A124"/>
      <c r="B124"/>
      <c r="C124" s="349"/>
      <c r="D124" s="349"/>
      <c r="E124" s="349"/>
      <c r="F124" s="349"/>
      <c r="G124" s="350"/>
      <c r="H124" s="349"/>
      <c r="I124" s="349"/>
      <c r="J124" s="349"/>
      <c r="K124" s="349"/>
      <c r="L124" s="349"/>
      <c r="M124" s="349"/>
      <c r="N124" s="349"/>
      <c r="O124"/>
      <c r="P124"/>
      <c r="Q124"/>
    </row>
    <row r="125" spans="1:17" ht="21.6" thickBot="1" x14ac:dyDescent="0.45">
      <c r="A125"/>
      <c r="B125" s="64" t="s">
        <v>33</v>
      </c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64"/>
      <c r="P125"/>
      <c r="Q125"/>
    </row>
    <row r="126" spans="1:17" ht="14.4" x14ac:dyDescent="0.3">
      <c r="A126"/>
      <c r="B126"/>
      <c r="C126" s="349"/>
      <c r="D126" s="349"/>
      <c r="E126" s="349"/>
      <c r="F126" s="349"/>
      <c r="G126" s="350"/>
      <c r="H126" s="349"/>
      <c r="I126" s="349"/>
      <c r="J126" s="349"/>
      <c r="K126" s="349"/>
      <c r="L126" s="349"/>
      <c r="M126" s="349"/>
      <c r="N126" s="349"/>
      <c r="O126"/>
      <c r="P126"/>
      <c r="Q126"/>
    </row>
    <row r="127" spans="1:17" ht="14.4" x14ac:dyDescent="0.3">
      <c r="A127"/>
      <c r="B127" s="1" t="s">
        <v>195</v>
      </c>
      <c r="C127" s="352" t="s">
        <v>98</v>
      </c>
      <c r="D127" s="349"/>
      <c r="E127" s="349"/>
      <c r="F127" s="349"/>
      <c r="G127" s="350"/>
      <c r="H127" s="349"/>
      <c r="I127" s="349"/>
      <c r="J127" s="349"/>
      <c r="K127" s="349"/>
      <c r="L127" s="349"/>
      <c r="M127" s="349"/>
      <c r="N127" s="349"/>
      <c r="O127"/>
      <c r="P127"/>
      <c r="Q127"/>
    </row>
    <row r="128" spans="1:17" ht="14.4" x14ac:dyDescent="0.3">
      <c r="A128"/>
      <c r="B128" s="67" t="s">
        <v>196</v>
      </c>
      <c r="C128" s="114">
        <f>'(1) Budget 2020'!H107</f>
        <v>1.7857142857142856E-2</v>
      </c>
      <c r="D128" s="353"/>
      <c r="E128" s="353"/>
      <c r="F128" s="349"/>
      <c r="G128" s="350"/>
      <c r="H128" s="349"/>
      <c r="I128" s="349"/>
      <c r="J128" s="349"/>
      <c r="K128" s="349"/>
      <c r="L128" s="349"/>
      <c r="M128" s="349"/>
      <c r="N128" s="349"/>
      <c r="O128"/>
      <c r="P128"/>
      <c r="Q128"/>
    </row>
    <row r="129" spans="1:17" ht="14.4" x14ac:dyDescent="0.3">
      <c r="A129"/>
      <c r="B129"/>
      <c r="C129" s="349"/>
      <c r="D129" s="349"/>
      <c r="E129" s="349"/>
      <c r="F129" s="349"/>
      <c r="G129" s="350"/>
      <c r="H129" s="349"/>
      <c r="I129" s="349"/>
      <c r="J129" s="349"/>
      <c r="K129" s="349"/>
      <c r="L129" s="349"/>
      <c r="M129" s="349"/>
      <c r="N129" s="349"/>
      <c r="O129"/>
      <c r="P129"/>
      <c r="Q129"/>
    </row>
    <row r="130" spans="1:17" ht="14.4" x14ac:dyDescent="0.3">
      <c r="A130"/>
      <c r="C130" s="391" t="s">
        <v>69</v>
      </c>
      <c r="D130" s="392"/>
      <c r="E130" s="393"/>
      <c r="F130" s="391" t="s">
        <v>145</v>
      </c>
      <c r="G130" s="392"/>
      <c r="H130" s="392"/>
      <c r="I130" s="392"/>
      <c r="J130" s="392"/>
      <c r="K130" s="392"/>
      <c r="L130" s="392"/>
      <c r="M130" s="392"/>
      <c r="N130" s="393"/>
      <c r="O130"/>
      <c r="P130"/>
      <c r="Q130"/>
    </row>
    <row r="131" spans="1:17" ht="17.399999999999999" x14ac:dyDescent="0.3">
      <c r="A131"/>
      <c r="B131" s="73"/>
      <c r="C131" s="354" t="s">
        <v>72</v>
      </c>
      <c r="D131" s="355" t="s">
        <v>73</v>
      </c>
      <c r="E131" s="356" t="s">
        <v>74</v>
      </c>
      <c r="F131" s="357" t="s">
        <v>75</v>
      </c>
      <c r="G131" s="357" t="s">
        <v>76</v>
      </c>
      <c r="H131" s="357" t="s">
        <v>77</v>
      </c>
      <c r="I131" s="357" t="s">
        <v>78</v>
      </c>
      <c r="J131" s="357" t="s">
        <v>79</v>
      </c>
      <c r="K131" s="357" t="s">
        <v>80</v>
      </c>
      <c r="L131" s="357" t="s">
        <v>81</v>
      </c>
      <c r="M131" s="357" t="s">
        <v>82</v>
      </c>
      <c r="N131" s="357" t="s">
        <v>83</v>
      </c>
      <c r="O131"/>
      <c r="P131"/>
      <c r="Q131"/>
    </row>
    <row r="132" spans="1:17" ht="15.6" x14ac:dyDescent="0.3">
      <c r="A132"/>
      <c r="B132" s="117" t="s">
        <v>172</v>
      </c>
      <c r="C132" s="207">
        <f>'(1) Budget 2020'!F43</f>
        <v>2800000</v>
      </c>
      <c r="D132" s="208">
        <f>'(1) Budget 2020'!G43</f>
        <v>2800000</v>
      </c>
      <c r="E132" s="208">
        <f>'(1) Budget 2020'!H43</f>
        <v>2800000</v>
      </c>
      <c r="F132" s="209">
        <f>'(1) Budget 2020'!I43</f>
        <v>2800000</v>
      </c>
      <c r="G132" s="210">
        <f>'(1) Budget 2020'!J43</f>
        <v>2600000</v>
      </c>
      <c r="H132" s="210">
        <f>'(1) Budget 2020'!K43</f>
        <v>2600000</v>
      </c>
      <c r="I132" s="210">
        <f>'(1) Budget 2020'!L43</f>
        <v>2600000</v>
      </c>
      <c r="J132" s="210">
        <f>'(1) Budget 2020'!M43</f>
        <v>2600000</v>
      </c>
      <c r="K132" s="210">
        <f>'(1) Budget 2020'!N43</f>
        <v>2600000</v>
      </c>
      <c r="L132" s="210">
        <f>'(1) Budget 2020'!O43</f>
        <v>2600000</v>
      </c>
      <c r="M132" s="210">
        <f>'(1) Budget 2020'!P43</f>
        <v>2600000</v>
      </c>
      <c r="N132" s="211">
        <f>'(1) Budget 2020'!Q43</f>
        <v>2600000</v>
      </c>
      <c r="O132"/>
      <c r="P132"/>
      <c r="Q132"/>
    </row>
    <row r="133" spans="1:17" ht="15.6" x14ac:dyDescent="0.3">
      <c r="A133"/>
      <c r="B133" s="117" t="s">
        <v>225</v>
      </c>
      <c r="C133" s="207"/>
      <c r="D133" s="208"/>
      <c r="E133" s="208"/>
      <c r="F133" s="364">
        <f>'(1) Budget 2020'!I68</f>
        <v>0</v>
      </c>
      <c r="G133" s="365">
        <f>'(1) Budget 2020'!J68</f>
        <v>-200000</v>
      </c>
      <c r="H133" s="365">
        <f>'(1) Budget 2020'!K68</f>
        <v>0</v>
      </c>
      <c r="I133" s="365">
        <f>'(1) Budget 2020'!L68</f>
        <v>0</v>
      </c>
      <c r="J133" s="365">
        <f>'(1) Budget 2020'!M68</f>
        <v>0</v>
      </c>
      <c r="K133" s="365">
        <f>'(1) Budget 2020'!N68</f>
        <v>0</v>
      </c>
      <c r="L133" s="365">
        <f>'(1) Budget 2020'!O68</f>
        <v>0</v>
      </c>
      <c r="M133" s="365">
        <f>'(1) Budget 2020'!P68</f>
        <v>0</v>
      </c>
      <c r="N133" s="366">
        <f>'(1) Budget 2020'!Q68</f>
        <v>0</v>
      </c>
      <c r="O133"/>
      <c r="P133"/>
      <c r="Q133"/>
    </row>
    <row r="134" spans="1:17" ht="15.6" hidden="1" x14ac:dyDescent="0.3">
      <c r="A134"/>
      <c r="B134" s="117" t="s">
        <v>229</v>
      </c>
      <c r="C134" s="207"/>
      <c r="D134" s="208"/>
      <c r="E134" s="208"/>
      <c r="F134" s="364">
        <f>$E$132</f>
        <v>2800000</v>
      </c>
      <c r="G134" s="365">
        <f t="shared" ref="G134:N134" si="12">$E$132</f>
        <v>2800000</v>
      </c>
      <c r="H134" s="365">
        <f t="shared" si="12"/>
        <v>2800000</v>
      </c>
      <c r="I134" s="365">
        <f t="shared" si="12"/>
        <v>2800000</v>
      </c>
      <c r="J134" s="365">
        <f t="shared" si="12"/>
        <v>2800000</v>
      </c>
      <c r="K134" s="365">
        <f t="shared" si="12"/>
        <v>2800000</v>
      </c>
      <c r="L134" s="365">
        <f t="shared" si="12"/>
        <v>2800000</v>
      </c>
      <c r="M134" s="365">
        <f t="shared" si="12"/>
        <v>2800000</v>
      </c>
      <c r="N134" s="366">
        <f t="shared" si="12"/>
        <v>2800000</v>
      </c>
      <c r="O134"/>
      <c r="P134"/>
      <c r="Q134"/>
    </row>
    <row r="135" spans="1:17" ht="15.6" x14ac:dyDescent="0.3">
      <c r="A135"/>
      <c r="B135" s="118" t="s">
        <v>226</v>
      </c>
      <c r="C135" s="207"/>
      <c r="D135" s="208"/>
      <c r="E135" s="208"/>
      <c r="F135" s="358">
        <v>0</v>
      </c>
      <c r="G135" s="359">
        <v>0</v>
      </c>
      <c r="H135" s="359">
        <v>0</v>
      </c>
      <c r="I135" s="359">
        <v>0</v>
      </c>
      <c r="J135" s="359">
        <v>0</v>
      </c>
      <c r="K135" s="359">
        <v>0</v>
      </c>
      <c r="L135" s="359">
        <v>0</v>
      </c>
      <c r="M135" s="359">
        <v>0</v>
      </c>
      <c r="N135" s="360">
        <v>0</v>
      </c>
      <c r="O135"/>
      <c r="P135"/>
      <c r="Q135"/>
    </row>
    <row r="136" spans="1:17" ht="15.6" x14ac:dyDescent="0.3">
      <c r="A136"/>
      <c r="B136" s="118" t="s">
        <v>227</v>
      </c>
      <c r="C136" s="207"/>
      <c r="D136" s="208"/>
      <c r="E136" s="208"/>
      <c r="F136" s="361">
        <v>0</v>
      </c>
      <c r="G136" s="362">
        <v>0</v>
      </c>
      <c r="H136" s="362">
        <v>0</v>
      </c>
      <c r="I136" s="362">
        <v>0</v>
      </c>
      <c r="J136" s="362">
        <v>0</v>
      </c>
      <c r="K136" s="362">
        <v>0</v>
      </c>
      <c r="L136" s="362">
        <v>0</v>
      </c>
      <c r="M136" s="362">
        <v>0</v>
      </c>
      <c r="N136" s="363">
        <v>0</v>
      </c>
      <c r="O136"/>
      <c r="P136"/>
      <c r="Q136"/>
    </row>
    <row r="137" spans="1:17" ht="15.6" x14ac:dyDescent="0.3">
      <c r="A137"/>
      <c r="B137" s="118" t="s">
        <v>175</v>
      </c>
      <c r="C137" s="207"/>
      <c r="D137" s="208"/>
      <c r="E137" s="208"/>
      <c r="F137" s="361">
        <v>0</v>
      </c>
      <c r="G137" s="362">
        <v>0</v>
      </c>
      <c r="H137" s="362">
        <v>0</v>
      </c>
      <c r="I137" s="362">
        <v>0</v>
      </c>
      <c r="J137" s="362">
        <v>0</v>
      </c>
      <c r="K137" s="362">
        <v>0</v>
      </c>
      <c r="L137" s="362">
        <v>0</v>
      </c>
      <c r="M137" s="362">
        <v>0</v>
      </c>
      <c r="N137" s="363">
        <v>0</v>
      </c>
      <c r="O137"/>
      <c r="P137"/>
      <c r="Q137"/>
    </row>
    <row r="138" spans="1:17" ht="15.6" x14ac:dyDescent="0.3">
      <c r="A138"/>
      <c r="B138" s="118" t="s">
        <v>173</v>
      </c>
      <c r="C138" s="207"/>
      <c r="D138" s="208"/>
      <c r="E138" s="208"/>
      <c r="F138" s="212">
        <f>IF($C$127="Yes",F134+F135+F136,F132)</f>
        <v>2800000</v>
      </c>
      <c r="G138" s="213">
        <f t="shared" ref="G138:N138" si="13">IF($C$127="Yes",G134+G135+G136,G132)</f>
        <v>2600000</v>
      </c>
      <c r="H138" s="213">
        <f t="shared" si="13"/>
        <v>2600000</v>
      </c>
      <c r="I138" s="213">
        <f t="shared" si="13"/>
        <v>2600000</v>
      </c>
      <c r="J138" s="213">
        <f t="shared" si="13"/>
        <v>2600000</v>
      </c>
      <c r="K138" s="213">
        <f t="shared" si="13"/>
        <v>2600000</v>
      </c>
      <c r="L138" s="213">
        <f t="shared" si="13"/>
        <v>2600000</v>
      </c>
      <c r="M138" s="213">
        <f t="shared" si="13"/>
        <v>2600000</v>
      </c>
      <c r="N138" s="214">
        <f t="shared" si="13"/>
        <v>2600000</v>
      </c>
      <c r="O138"/>
      <c r="P138"/>
      <c r="Q138"/>
    </row>
    <row r="139" spans="1:17" ht="15.6" x14ac:dyDescent="0.3">
      <c r="A139"/>
      <c r="B139" s="118" t="s">
        <v>174</v>
      </c>
      <c r="C139" s="202"/>
      <c r="D139" s="203"/>
      <c r="E139" s="203"/>
      <c r="F139" s="215">
        <f>$C$128*F138/12</f>
        <v>4166.666666666667</v>
      </c>
      <c r="G139" s="216">
        <f t="shared" ref="G139:N139" si="14">$C$128*G138/12</f>
        <v>3869.0476190476188</v>
      </c>
      <c r="H139" s="216">
        <f t="shared" si="14"/>
        <v>3869.0476190476188</v>
      </c>
      <c r="I139" s="216">
        <f t="shared" si="14"/>
        <v>3869.0476190476188</v>
      </c>
      <c r="J139" s="216">
        <f t="shared" si="14"/>
        <v>3869.0476190476188</v>
      </c>
      <c r="K139" s="216">
        <f t="shared" si="14"/>
        <v>3869.0476190476188</v>
      </c>
      <c r="L139" s="216">
        <f t="shared" si="14"/>
        <v>3869.0476190476188</v>
      </c>
      <c r="M139" s="216">
        <f t="shared" si="14"/>
        <v>3869.0476190476188</v>
      </c>
      <c r="N139" s="217">
        <f t="shared" si="14"/>
        <v>3869.0476190476188</v>
      </c>
      <c r="O139"/>
      <c r="P139"/>
      <c r="Q139"/>
    </row>
    <row r="140" spans="1:17" ht="14.4" x14ac:dyDescent="0.3">
      <c r="A140"/>
      <c r="B140"/>
      <c r="C140"/>
      <c r="D140"/>
      <c r="E140"/>
      <c r="F140"/>
      <c r="G140" s="116"/>
      <c r="H140"/>
      <c r="I140"/>
      <c r="J140"/>
      <c r="K140"/>
      <c r="L140"/>
      <c r="M140"/>
      <c r="N140"/>
      <c r="O140"/>
      <c r="P140"/>
      <c r="Q140"/>
    </row>
    <row r="141" spans="1:17" ht="14.4" x14ac:dyDescent="0.3">
      <c r="A141"/>
      <c r="B141"/>
      <c r="C141"/>
      <c r="D141"/>
      <c r="E141"/>
      <c r="F141"/>
      <c r="G141" s="116"/>
      <c r="H141"/>
      <c r="I141"/>
      <c r="J141"/>
      <c r="K141"/>
      <c r="L141"/>
      <c r="M141"/>
      <c r="N141"/>
      <c r="O141"/>
      <c r="P141"/>
      <c r="Q141"/>
    </row>
    <row r="142" spans="1:17" ht="21.6" thickBot="1" x14ac:dyDescent="0.45">
      <c r="A142"/>
      <c r="B142" s="64" t="s">
        <v>114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/>
      <c r="Q142"/>
    </row>
    <row r="143" spans="1:17" ht="14.4" x14ac:dyDescent="0.3">
      <c r="A143"/>
      <c r="B143"/>
      <c r="C143"/>
      <c r="D143"/>
      <c r="E143"/>
      <c r="F143"/>
      <c r="G143" s="116"/>
      <c r="H143"/>
      <c r="I143"/>
      <c r="J143"/>
      <c r="K143"/>
      <c r="L143"/>
      <c r="M143"/>
      <c r="N143"/>
      <c r="O143"/>
      <c r="P143"/>
      <c r="Q143"/>
    </row>
    <row r="144" spans="1:17" ht="14.4" x14ac:dyDescent="0.3">
      <c r="A144"/>
      <c r="B144" s="1" t="s">
        <v>1</v>
      </c>
      <c r="C144" s="1" t="s">
        <v>115</v>
      </c>
      <c r="D144" s="1" t="s">
        <v>117</v>
      </c>
      <c r="E144" s="1"/>
      <c r="F144" s="1"/>
      <c r="G144" s="116"/>
      <c r="H144"/>
      <c r="I144"/>
      <c r="J144"/>
      <c r="K144"/>
      <c r="L144"/>
      <c r="M144"/>
      <c r="N144"/>
      <c r="O144"/>
      <c r="P144"/>
      <c r="Q144"/>
    </row>
    <row r="145" spans="1:17" ht="14.4" x14ac:dyDescent="0.3">
      <c r="A145"/>
      <c r="B145" s="1"/>
      <c r="C145" s="1" t="s">
        <v>116</v>
      </c>
      <c r="D145" s="1" t="s">
        <v>118</v>
      </c>
      <c r="E145" s="1"/>
      <c r="F145" s="1"/>
      <c r="G145" s="116"/>
      <c r="H145"/>
      <c r="I145"/>
      <c r="J145"/>
      <c r="K145"/>
      <c r="L145"/>
      <c r="M145"/>
      <c r="N145"/>
      <c r="O145"/>
      <c r="P145"/>
      <c r="Q145"/>
    </row>
    <row r="146" spans="1:17" ht="14.4" x14ac:dyDescent="0.3">
      <c r="A146"/>
      <c r="B146"/>
      <c r="C146"/>
      <c r="D146"/>
      <c r="E146"/>
      <c r="F146"/>
      <c r="G146" s="116"/>
      <c r="H146"/>
      <c r="I146"/>
      <c r="J146"/>
      <c r="K146"/>
      <c r="L146"/>
      <c r="M146"/>
      <c r="N146"/>
      <c r="O146"/>
      <c r="P146"/>
      <c r="Q146"/>
    </row>
    <row r="147" spans="1:17" ht="14.4" x14ac:dyDescent="0.3">
      <c r="P147"/>
      <c r="Q147"/>
    </row>
    <row r="148" spans="1:17" ht="21.6" thickBot="1" x14ac:dyDescent="0.45">
      <c r="B148" s="64" t="s">
        <v>119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/>
      <c r="Q148"/>
    </row>
    <row r="149" spans="1:17" ht="14.4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ht="14.4" x14ac:dyDescent="0.3">
      <c r="B150" s="1" t="s">
        <v>121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ht="14.4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ht="14.4" x14ac:dyDescent="0.3">
      <c r="B152" s="1" t="s">
        <v>120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ht="14.4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ht="14.4" x14ac:dyDescent="0.3">
      <c r="B154" t="s">
        <v>122</v>
      </c>
      <c r="C154"/>
      <c r="D154" s="328" t="s">
        <v>98</v>
      </c>
      <c r="E154" t="s">
        <v>138</v>
      </c>
      <c r="G154" s="329">
        <v>1</v>
      </c>
      <c r="I154"/>
      <c r="J154"/>
      <c r="K154"/>
      <c r="L154"/>
      <c r="M154"/>
      <c r="N154"/>
      <c r="O154"/>
      <c r="P154"/>
      <c r="Q154"/>
    </row>
    <row r="155" spans="1:17" ht="14.4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ht="14.4" x14ac:dyDescent="0.3">
      <c r="B156" t="s">
        <v>123</v>
      </c>
      <c r="C156"/>
      <c r="D156" s="328" t="s">
        <v>98</v>
      </c>
      <c r="E156" t="s">
        <v>138</v>
      </c>
      <c r="G156" s="329">
        <v>1</v>
      </c>
      <c r="H156"/>
      <c r="I156"/>
      <c r="J156"/>
      <c r="K156"/>
      <c r="L156"/>
      <c r="M156"/>
      <c r="N156"/>
      <c r="O156"/>
      <c r="P156"/>
      <c r="Q156"/>
    </row>
    <row r="157" spans="1:17" ht="14.4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ht="17.399999999999999" x14ac:dyDescent="0.3">
      <c r="B158" t="s">
        <v>128</v>
      </c>
      <c r="C158"/>
      <c r="D158" s="328" t="s">
        <v>98</v>
      </c>
      <c r="E158"/>
      <c r="F158" s="107" t="s">
        <v>75</v>
      </c>
      <c r="G158" s="107" t="s">
        <v>76</v>
      </c>
      <c r="H158" s="107" t="s">
        <v>77</v>
      </c>
      <c r="I158" s="107" t="s">
        <v>78</v>
      </c>
      <c r="J158" s="107" t="s">
        <v>79</v>
      </c>
      <c r="K158" s="107" t="s">
        <v>80</v>
      </c>
      <c r="L158" s="107" t="s">
        <v>81</v>
      </c>
      <c r="M158" s="107" t="s">
        <v>82</v>
      </c>
      <c r="N158" s="107" t="s">
        <v>83</v>
      </c>
      <c r="O158"/>
      <c r="P158"/>
      <c r="Q158"/>
    </row>
    <row r="159" spans="1:17" ht="14.4" x14ac:dyDescent="0.3">
      <c r="B159"/>
      <c r="C159"/>
      <c r="D159"/>
      <c r="E159" s="192" t="s">
        <v>194</v>
      </c>
      <c r="F159" s="330">
        <v>0</v>
      </c>
      <c r="G159" s="330">
        <v>0</v>
      </c>
      <c r="H159" s="330">
        <v>0</v>
      </c>
      <c r="I159" s="330">
        <v>0</v>
      </c>
      <c r="J159" s="330">
        <v>0</v>
      </c>
      <c r="K159" s="330">
        <v>0</v>
      </c>
      <c r="L159" s="330">
        <v>0</v>
      </c>
      <c r="M159" s="330">
        <v>0</v>
      </c>
      <c r="N159" s="331">
        <v>0</v>
      </c>
      <c r="O159"/>
      <c r="P159"/>
      <c r="Q159"/>
    </row>
    <row r="160" spans="1:17" ht="14.4" x14ac:dyDescent="0.3">
      <c r="B160" t="s">
        <v>158</v>
      </c>
      <c r="C160"/>
      <c r="D160" s="328" t="s">
        <v>98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2:17" ht="14.4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2:17" ht="14.4" x14ac:dyDescent="0.3">
      <c r="B162" s="1" t="s">
        <v>124</v>
      </c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2:17" ht="14.4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2:17" ht="14.4" x14ac:dyDescent="0.3">
      <c r="B164" t="s">
        <v>122</v>
      </c>
      <c r="C164"/>
      <c r="D164" s="328" t="s">
        <v>98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2:17" ht="14.4" x14ac:dyDescent="0.3">
      <c r="B165"/>
      <c r="C165"/>
      <c r="D165"/>
      <c r="E165"/>
      <c r="F165"/>
      <c r="G165"/>
      <c r="H165"/>
      <c r="I165"/>
      <c r="J165"/>
      <c r="K165"/>
      <c r="L165" s="63"/>
      <c r="M165"/>
      <c r="N165"/>
      <c r="O165"/>
      <c r="P165"/>
      <c r="Q165"/>
    </row>
    <row r="166" spans="2:17" ht="14.4" x14ac:dyDescent="0.3">
      <c r="B166" s="1" t="s">
        <v>125</v>
      </c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2:17" ht="14.4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2:17" ht="14.4" x14ac:dyDescent="0.3">
      <c r="B168" t="s">
        <v>126</v>
      </c>
      <c r="C168"/>
      <c r="D168" s="328" t="s">
        <v>98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2:17" ht="14.4" x14ac:dyDescent="0.3">
      <c r="B169"/>
      <c r="C169"/>
      <c r="D169"/>
      <c r="E169" s="374"/>
      <c r="F169" s="374"/>
      <c r="G169" s="374"/>
      <c r="H169" s="374"/>
      <c r="I169" s="374"/>
      <c r="J169" s="374"/>
      <c r="K169" s="374"/>
      <c r="L169" s="374"/>
      <c r="M169" s="374"/>
      <c r="N169" s="374"/>
      <c r="O169" s="374"/>
      <c r="P169"/>
      <c r="Q169"/>
    </row>
    <row r="170" spans="2:17" ht="14.4" x14ac:dyDescent="0.3">
      <c r="B170" t="s">
        <v>127</v>
      </c>
      <c r="C170"/>
      <c r="D170" s="328" t="s">
        <v>98</v>
      </c>
      <c r="E170" s="374"/>
      <c r="F170" s="374"/>
      <c r="G170" s="374"/>
      <c r="H170" s="374"/>
      <c r="I170" s="374"/>
      <c r="J170" s="374"/>
      <c r="K170" s="374"/>
      <c r="L170" s="374"/>
      <c r="M170" s="374"/>
      <c r="N170" s="374"/>
      <c r="O170" s="374"/>
      <c r="P170"/>
      <c r="Q170"/>
    </row>
    <row r="171" spans="2:17" ht="14.4" x14ac:dyDescent="0.3">
      <c r="B171"/>
      <c r="C171"/>
      <c r="D171" s="379"/>
      <c r="E171" s="374"/>
      <c r="F171" s="372">
        <f>IF(D154="Yes",4000*G154,0)+IF(D156="Yes",2000,0)+IF(D164="Yes",4000,0)+IF(D168="Yes",5000,0)+IF(D170="Yes",2500,0)+IF(D158="Yes",F159*160,0)+IF(D160="Yes",3000,0)</f>
        <v>0</v>
      </c>
      <c r="G171" s="373">
        <f t="shared" ref="G171:N171" si="15">G159*160</f>
        <v>0</v>
      </c>
      <c r="H171" s="373">
        <f t="shared" si="15"/>
        <v>0</v>
      </c>
      <c r="I171" s="373">
        <f t="shared" si="15"/>
        <v>0</v>
      </c>
      <c r="J171" s="373">
        <f t="shared" si="15"/>
        <v>0</v>
      </c>
      <c r="K171" s="373">
        <f t="shared" si="15"/>
        <v>0</v>
      </c>
      <c r="L171" s="373">
        <f t="shared" si="15"/>
        <v>0</v>
      </c>
      <c r="M171" s="373">
        <f t="shared" si="15"/>
        <v>0</v>
      </c>
      <c r="N171" s="373">
        <f t="shared" si="15"/>
        <v>0</v>
      </c>
      <c r="O171" s="374"/>
      <c r="P171"/>
      <c r="Q171"/>
    </row>
    <row r="172" spans="2:17" ht="14.4" x14ac:dyDescent="0.3">
      <c r="B172" t="s">
        <v>230</v>
      </c>
      <c r="C172"/>
      <c r="D172" s="380">
        <v>0</v>
      </c>
      <c r="E172" s="374"/>
      <c r="F172" s="372"/>
      <c r="G172" s="373"/>
      <c r="H172" s="373"/>
      <c r="I172" s="373"/>
      <c r="J172" s="373"/>
      <c r="K172" s="373"/>
      <c r="L172" s="373"/>
      <c r="M172" s="373"/>
      <c r="N172" s="373"/>
      <c r="O172" s="374"/>
      <c r="P172"/>
      <c r="Q172"/>
    </row>
    <row r="173" spans="2:17" ht="14.4" x14ac:dyDescent="0.3">
      <c r="B173"/>
      <c r="C173"/>
      <c r="D173" s="65"/>
      <c r="E173" s="65"/>
      <c r="F173" s="65"/>
      <c r="G173"/>
      <c r="H173"/>
      <c r="I173"/>
      <c r="J173"/>
      <c r="K173"/>
      <c r="L173"/>
      <c r="M173"/>
      <c r="N173"/>
      <c r="O173"/>
      <c r="P173"/>
      <c r="Q173"/>
    </row>
    <row r="174" spans="2:17" ht="14.4" x14ac:dyDescent="0.3">
      <c r="B174" s="60" t="s">
        <v>134</v>
      </c>
      <c r="C174"/>
      <c r="D174" s="353">
        <f>SUM(F171:N171)+D172</f>
        <v>0</v>
      </c>
      <c r="O174"/>
      <c r="P174"/>
      <c r="Q174"/>
    </row>
    <row r="175" spans="2:17" ht="14.4" x14ac:dyDescent="0.3">
      <c r="B175"/>
      <c r="C175"/>
      <c r="D175"/>
      <c r="E175"/>
      <c r="O175"/>
      <c r="P175"/>
      <c r="Q175"/>
    </row>
    <row r="176" spans="2:17" ht="14.4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2:17" ht="17.399999999999999" x14ac:dyDescent="0.3">
      <c r="B177" t="s">
        <v>231</v>
      </c>
      <c r="C177"/>
      <c r="D177"/>
      <c r="E177"/>
      <c r="F177" s="107" t="s">
        <v>75</v>
      </c>
      <c r="G177" s="107" t="s">
        <v>76</v>
      </c>
      <c r="H177" s="107" t="s">
        <v>77</v>
      </c>
      <c r="I177" s="107" t="s">
        <v>78</v>
      </c>
      <c r="J177" s="107" t="s">
        <v>79</v>
      </c>
      <c r="K177" s="107" t="s">
        <v>80</v>
      </c>
      <c r="L177" s="107" t="s">
        <v>81</v>
      </c>
      <c r="M177" s="107" t="s">
        <v>82</v>
      </c>
      <c r="N177" s="107" t="s">
        <v>83</v>
      </c>
      <c r="O177"/>
      <c r="P177"/>
      <c r="Q177"/>
    </row>
    <row r="178" spans="2:17" ht="14.4" x14ac:dyDescent="0.3">
      <c r="B178"/>
      <c r="C178"/>
      <c r="D178" s="381"/>
      <c r="E178"/>
      <c r="F178" s="375">
        <v>0</v>
      </c>
      <c r="G178" s="376">
        <v>0</v>
      </c>
      <c r="H178" s="376">
        <v>0</v>
      </c>
      <c r="I178" s="376">
        <v>0</v>
      </c>
      <c r="J178" s="376">
        <v>0</v>
      </c>
      <c r="K178" s="376">
        <v>0</v>
      </c>
      <c r="L178" s="376">
        <v>0</v>
      </c>
      <c r="M178" s="376">
        <v>0</v>
      </c>
      <c r="N178" s="377">
        <v>0</v>
      </c>
      <c r="O178" s="378"/>
      <c r="P178" s="378"/>
      <c r="Q178"/>
    </row>
    <row r="179" spans="2:17" ht="14.4" x14ac:dyDescent="0.3">
      <c r="B179"/>
      <c r="C179"/>
      <c r="D179" s="381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2:17" ht="14.4" x14ac:dyDescent="0.3">
      <c r="P180"/>
      <c r="Q180"/>
    </row>
    <row r="181" spans="2:17" ht="14.4" hidden="1" x14ac:dyDescent="0.3">
      <c r="P181"/>
      <c r="Q181"/>
    </row>
    <row r="182" spans="2:17" ht="14.4" hidden="1" x14ac:dyDescent="0.3">
      <c r="P182"/>
      <c r="Q182"/>
    </row>
    <row r="183" spans="2:17" ht="14.4" hidden="1" x14ac:dyDescent="0.3">
      <c r="P183"/>
      <c r="Q183"/>
    </row>
    <row r="184" spans="2:17" ht="14.4" hidden="1" x14ac:dyDescent="0.3">
      <c r="P184"/>
      <c r="Q184"/>
    </row>
    <row r="185" spans="2:17" ht="14.4" hidden="1" x14ac:dyDescent="0.3">
      <c r="P185"/>
      <c r="Q185"/>
    </row>
    <row r="186" spans="2:17" ht="14.4" hidden="1" x14ac:dyDescent="0.3">
      <c r="P186"/>
      <c r="Q186"/>
    </row>
    <row r="187" spans="2:17" hidden="1" x14ac:dyDescent="0.25"/>
    <row r="188" spans="2:17" hidden="1" x14ac:dyDescent="0.25"/>
    <row r="189" spans="2:17" hidden="1" x14ac:dyDescent="0.25"/>
    <row r="190" spans="2:17" hidden="1" x14ac:dyDescent="0.25"/>
    <row r="191" spans="2:17" hidden="1" x14ac:dyDescent="0.25"/>
    <row r="192" spans="2:17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x14ac:dyDescent="0.25"/>
  </sheetData>
  <sheetProtection algorithmName="SHA-512" hashValue="QF7BYbB2zWDoeJq6hDFeqjn9mokmS+HNp0b+wRjsEOw2axRPk934CePP25H3Ut5/RXO1THp1C5EAP/JW7yVmwg==" saltValue="tW/Y9IYnqXNc4m/no0Yf8w==" spinCount="100000" sheet="1" selectLockedCells="1"/>
  <mergeCells count="20">
    <mergeCell ref="C80:E80"/>
    <mergeCell ref="F80:N80"/>
    <mergeCell ref="C25:E25"/>
    <mergeCell ref="F25:N25"/>
    <mergeCell ref="C12:E12"/>
    <mergeCell ref="F12:N12"/>
    <mergeCell ref="C63:E63"/>
    <mergeCell ref="F63:N63"/>
    <mergeCell ref="C39:E39"/>
    <mergeCell ref="F39:N39"/>
    <mergeCell ref="C50:E50"/>
    <mergeCell ref="F50:N50"/>
    <mergeCell ref="C130:E130"/>
    <mergeCell ref="F130:N130"/>
    <mergeCell ref="C91:E91"/>
    <mergeCell ref="F91:N91"/>
    <mergeCell ref="C103:E103"/>
    <mergeCell ref="F103:N103"/>
    <mergeCell ref="C116:E116"/>
    <mergeCell ref="F116:N116"/>
  </mergeCells>
  <phoneticPr fontId="11" type="noConversion"/>
  <conditionalFormatting sqref="C36:C37">
    <cfRule type="expression" dxfId="48" priority="91">
      <formula>"Yes"=$C$34</formula>
    </cfRule>
  </conditionalFormatting>
  <conditionalFormatting sqref="D30 F30">
    <cfRule type="expression" dxfId="47" priority="90">
      <formula>$C$21="No"</formula>
    </cfRule>
  </conditionalFormatting>
  <conditionalFormatting sqref="B36:C37 B38">
    <cfRule type="expression" dxfId="46" priority="84">
      <formula>$C$34="No"</formula>
    </cfRule>
  </conditionalFormatting>
  <conditionalFormatting sqref="F42:N42">
    <cfRule type="expression" dxfId="45" priority="79">
      <formula>$C$34="No"</formula>
    </cfRule>
  </conditionalFormatting>
  <conditionalFormatting sqref="F42:N42">
    <cfRule type="expression" dxfId="44" priority="80">
      <formula>"Yes"=$C$34</formula>
    </cfRule>
  </conditionalFormatting>
  <conditionalFormatting sqref="F15:N15">
    <cfRule type="expression" dxfId="43" priority="75">
      <formula>$C$10="Yes"</formula>
    </cfRule>
  </conditionalFormatting>
  <conditionalFormatting sqref="F15:N15">
    <cfRule type="expression" dxfId="42" priority="74">
      <formula>$C$10="No"</formula>
    </cfRule>
  </conditionalFormatting>
  <conditionalFormatting sqref="F28:N28">
    <cfRule type="expression" dxfId="41" priority="73">
      <formula>$C$21="Yes"</formula>
    </cfRule>
  </conditionalFormatting>
  <conditionalFormatting sqref="F28:N28">
    <cfRule type="expression" dxfId="40" priority="72">
      <formula>$C$21="No"</formula>
    </cfRule>
  </conditionalFormatting>
  <conditionalFormatting sqref="F53:N53">
    <cfRule type="expression" dxfId="39" priority="62">
      <formula>$C$48="Yes"</formula>
    </cfRule>
  </conditionalFormatting>
  <conditionalFormatting sqref="F53:N53">
    <cfRule type="expression" dxfId="38" priority="61">
      <formula>$C$48="No"</formula>
    </cfRule>
  </conditionalFormatting>
  <conditionalFormatting sqref="D88:E88">
    <cfRule type="expression" dxfId="37" priority="50">
      <formula>#REF!="No"</formula>
    </cfRule>
  </conditionalFormatting>
  <conditionalFormatting sqref="B96:E96">
    <cfRule type="expression" dxfId="36" priority="46">
      <formula>$C$6="No"</formula>
    </cfRule>
  </conditionalFormatting>
  <conditionalFormatting sqref="F96:N96">
    <cfRule type="expression" dxfId="35" priority="16">
      <formula>$C$89="No"</formula>
    </cfRule>
    <cfRule type="expression" dxfId="34" priority="45">
      <formula>$C$89="Yes"</formula>
    </cfRule>
  </conditionalFormatting>
  <conditionalFormatting sqref="B120:N120">
    <cfRule type="expression" dxfId="33" priority="41">
      <formula>$C$36="No"</formula>
    </cfRule>
  </conditionalFormatting>
  <conditionalFormatting sqref="B120">
    <cfRule type="expression" dxfId="32" priority="40">
      <formula>$C$36="No"</formula>
    </cfRule>
  </conditionalFormatting>
  <conditionalFormatting sqref="N120">
    <cfRule type="expression" dxfId="31" priority="39">
      <formula>$C$36="No"</formula>
    </cfRule>
  </conditionalFormatting>
  <conditionalFormatting sqref="F120">
    <cfRule type="expression" dxfId="30" priority="38">
      <formula>$C$36="No"</formula>
    </cfRule>
  </conditionalFormatting>
  <conditionalFormatting sqref="B97:E97 G97:N97">
    <cfRule type="expression" dxfId="29" priority="37">
      <formula>$C$36="No"</formula>
    </cfRule>
  </conditionalFormatting>
  <conditionalFormatting sqref="B107:E108">
    <cfRule type="expression" dxfId="28" priority="34">
      <formula>$C$6="No"</formula>
    </cfRule>
  </conditionalFormatting>
  <conditionalFormatting sqref="B107:E108">
    <cfRule type="expression" dxfId="27" priority="33">
      <formula>$C$6="No"</formula>
    </cfRule>
  </conditionalFormatting>
  <conditionalFormatting sqref="B109:N109">
    <cfRule type="expression" dxfId="26" priority="30">
      <formula>$C$36="No"</formula>
    </cfRule>
  </conditionalFormatting>
  <conditionalFormatting sqref="F159:N159">
    <cfRule type="expression" dxfId="25" priority="29">
      <formula>$D$158="Yes"</formula>
    </cfRule>
  </conditionalFormatting>
  <conditionalFormatting sqref="L165">
    <cfRule type="expression" dxfId="24" priority="28">
      <formula>$B$48="Yes"</formula>
    </cfRule>
  </conditionalFormatting>
  <conditionalFormatting sqref="E159:N159 E158">
    <cfRule type="expression" dxfId="23" priority="26">
      <formula>$D$158="No"</formula>
    </cfRule>
  </conditionalFormatting>
  <conditionalFormatting sqref="E157">
    <cfRule type="expression" dxfId="22" priority="25">
      <formula>$C$7="No"</formula>
    </cfRule>
  </conditionalFormatting>
  <conditionalFormatting sqref="F66:N67">
    <cfRule type="expression" dxfId="21" priority="19">
      <formula>$C$59="Yes"</formula>
    </cfRule>
    <cfRule type="expression" dxfId="20" priority="20">
      <formula>$C$59="No"</formula>
    </cfRule>
  </conditionalFormatting>
  <conditionalFormatting sqref="F83:N83">
    <cfRule type="expression" dxfId="19" priority="17">
      <formula>$C$76="Yes"</formula>
    </cfRule>
    <cfRule type="expression" dxfId="18" priority="18">
      <formula>$C$76="No"</formula>
    </cfRule>
  </conditionalFormatting>
  <conditionalFormatting sqref="F107:N108">
    <cfRule type="expression" dxfId="17" priority="15">
      <formula>$C$101="No"</formula>
    </cfRule>
    <cfRule type="expression" dxfId="16" priority="32">
      <formula>$C$101="Yes"</formula>
    </cfRule>
  </conditionalFormatting>
  <conditionalFormatting sqref="F121:N121">
    <cfRule type="expression" dxfId="15" priority="13">
      <formula>$C$114="Yes"</formula>
    </cfRule>
    <cfRule type="expression" dxfId="14" priority="14">
      <formula>$C$114="No"</formula>
    </cfRule>
  </conditionalFormatting>
  <conditionalFormatting sqref="F135:N136">
    <cfRule type="expression" dxfId="13" priority="11">
      <formula>$C$127="Yes"</formula>
    </cfRule>
    <cfRule type="expression" dxfId="12" priority="12">
      <formula>$C$127="No"</formula>
    </cfRule>
  </conditionalFormatting>
  <conditionalFormatting sqref="E154:G154">
    <cfRule type="expression" dxfId="11" priority="10">
      <formula>$D$154="No"</formula>
    </cfRule>
  </conditionalFormatting>
  <conditionalFormatting sqref="E156:G156">
    <cfRule type="expression" dxfId="10" priority="9">
      <formula>$D$156="No"</formula>
    </cfRule>
  </conditionalFormatting>
  <conditionalFormatting sqref="F157:N158">
    <cfRule type="expression" dxfId="9" priority="8">
      <formula>$D$158="No"</formula>
    </cfRule>
  </conditionalFormatting>
  <conditionalFormatting sqref="F68:N69">
    <cfRule type="expression" dxfId="8" priority="6">
      <formula>$C$59="No"</formula>
    </cfRule>
  </conditionalFormatting>
  <conditionalFormatting sqref="G154">
    <cfRule type="expression" dxfId="7" priority="4">
      <formula>$D$154="Yes"</formula>
    </cfRule>
  </conditionalFormatting>
  <conditionalFormatting sqref="G156">
    <cfRule type="expression" dxfId="6" priority="3">
      <formula>$D$156="Yes"</formula>
    </cfRule>
  </conditionalFormatting>
  <conditionalFormatting sqref="F137:N137">
    <cfRule type="expression" dxfId="5" priority="1">
      <formula>$C$127="Yes"</formula>
    </cfRule>
    <cfRule type="expression" dxfId="4" priority="2">
      <formula>$C$127="No"</formula>
    </cfRule>
  </conditionalFormatting>
  <dataValidations xWindow="1889" yWindow="1406" count="2">
    <dataValidation allowBlank="1" showInputMessage="1" showErrorMessage="1" promptTitle="Estimation of remaining costs" prompt="Costs associated with company car, outsourced payroll administation (sociaal secretariaat/secrétariat social), bonus, net allowance etc. that are not reduced to zero." sqref="C37" xr:uid="{9E0BFC4A-4EC4-453C-A18C-88FC8300FBC1}"/>
    <dataValidation type="list" allowBlank="1" showInputMessage="1" showErrorMessage="1" sqref="G154 G156" xr:uid="{6D627196-9A92-4B46-9DEB-092FA01BE7AA}">
      <formula1>"1,2,3,4,5"</formula1>
    </dataValidation>
  </dataValidations>
  <pageMargins left="0.7" right="0.7" top="0.75" bottom="0.75" header="0.3" footer="0.3"/>
  <ignoredErrors>
    <ignoredError sqref="O15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xWindow="1889" yWindow="1406" count="10">
        <x14:dataValidation type="list" allowBlank="1" showInputMessage="1" showErrorMessage="1" promptTitle="Estimated Impact" prompt="Select the estimated monthly impact on revenues from the drop down list" xr:uid="{DBD6640F-C8F8-4457-B275-3A903B24E126}">
          <x14:formula1>
            <xm:f>Lists!$B$2:$B$42</xm:f>
          </x14:formula1>
          <xm:sqref>F15:N15</xm:sqref>
        </x14:dataValidation>
        <x14:dataValidation type="list" allowBlank="1" showInputMessage="1" showErrorMessage="1" xr:uid="{54E07F9F-E4E3-48BD-BE2A-31220D849B4D}">
          <x14:formula1>
            <xm:f>Lists!$C$2:$C$3</xm:f>
          </x14:formula1>
          <xm:sqref>C10:C11 C48 C34 D160 C59 C76 C114 C127 C89:C90 C101:C102 D154:D158 D164 D168:D170 C21:C22 C24</xm:sqref>
        </x14:dataValidation>
        <x14:dataValidation type="list" allowBlank="1" showInputMessage="1" showErrorMessage="1" promptTitle="Estimated Impact COGS" prompt="Select the estimated monthly impact on the Cost of Goods Sold from the drop down list" xr:uid="{6D24092A-6FBF-438D-B7B6-070ADF00AAEF}">
          <x14:formula1>
            <xm:f>Lists!$B$2:$B$42</xm:f>
          </x14:formula1>
          <xm:sqref>F28:N28</xm:sqref>
        </x14:dataValidation>
        <x14:dataValidation type="list" allowBlank="1" showInputMessage="1" showErrorMessage="1" xr:uid="{F5DBEC23-8BA4-42B7-81CA-394C3DF58B49}">
          <x14:formula1>
            <xm:f>Lists!$E$2:$E$27</xm:f>
          </x14:formula1>
          <xm:sqref>F159</xm:sqref>
        </x14:dataValidation>
        <x14:dataValidation type="list" allowBlank="1" showInputMessage="1" showErrorMessage="1" xr:uid="{D7393FAA-A767-4C60-9A3A-D577DF79CAB8}">
          <x14:formula1>
            <xm:f>Lists!$E$2:$E$32</xm:f>
          </x14:formula1>
          <xm:sqref>K159 M159 H159</xm:sqref>
        </x14:dataValidation>
        <x14:dataValidation type="list" allowBlank="1" showInputMessage="1" showErrorMessage="1" xr:uid="{4CD3D962-4493-4F36-B9CC-D020C242B062}">
          <x14:formula1>
            <xm:f>Lists!$E$2:$E$33</xm:f>
          </x14:formula1>
          <xm:sqref>I159:J159 L159 N159 G159</xm:sqref>
        </x14:dataValidation>
        <x14:dataValidation type="list" allowBlank="1" showInputMessage="1" showErrorMessage="1" promptTitle="Estimated Impact" prompt="Select the estimated monthly impact on rent&amp;overhead from the drop down list" xr:uid="{670B9A02-3858-4B3D-A065-58D0A622B56B}">
          <x14:formula1>
            <xm:f>Lists!$B$2:$B$42</xm:f>
          </x14:formula1>
          <xm:sqref>F53:N53</xm:sqref>
        </x14:dataValidation>
        <x14:dataValidation type="list" allowBlank="1" showInputMessage="1" showErrorMessage="1" promptTitle="Estimated Impact" prompt="Select the estimated increase in the payable period, on top of budget._x000a_" xr:uid="{AE761CB7-89F9-4621-958B-BC75077CD636}">
          <x14:formula1>
            <xm:f>Lists!$F$2:$F$14</xm:f>
          </x14:formula1>
          <xm:sqref>F121:N121</xm:sqref>
        </x14:dataValidation>
        <x14:dataValidation type="list" allowBlank="1" showInputMessage="1" showErrorMessage="1" promptTitle="Estimated Impact" prompt="Select the estimated increase in the receivable period, on top of budget._x000a_" xr:uid="{B979C633-989B-449B-B416-58D42913FAA0}">
          <x14:formula1>
            <xm:f>Lists!$F$2:$F$14</xm:f>
          </x14:formula1>
          <xm:sqref>F96:N96</xm:sqref>
        </x14:dataValidation>
        <x14:dataValidation type="list" allowBlank="1" showInputMessage="1" showErrorMessage="1" promptTitle="Estimated Impact" prompt="Select the estimated impact on inventories, on top of budget._x000a_" xr:uid="{F99C4430-D043-470E-9F08-4C3A0C8808C5}">
          <x14:formula1>
            <xm:f>Lists!$F$8:$F$14</xm:f>
          </x14:formula1>
          <xm:sqref>F107:N107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A8D2-030F-451F-A7ED-A9DC6FE4940D}">
  <sheetPr>
    <tabColor rgb="FF2E3B42"/>
  </sheetPr>
  <dimension ref="A1:T112"/>
  <sheetViews>
    <sheetView showGridLines="0" zoomScale="110" zoomScaleNormal="110" workbookViewId="0">
      <pane ySplit="9" topLeftCell="A13" activePane="bottomLeft" state="frozen"/>
      <selection activeCell="I34" sqref="I34"/>
      <selection pane="bottomLeft" activeCell="F35" sqref="F35"/>
    </sheetView>
  </sheetViews>
  <sheetFormatPr defaultColWidth="8.77734375" defaultRowHeight="13.8" x14ac:dyDescent="0.25"/>
  <cols>
    <col min="1" max="1" width="8.77734375" style="67" customWidth="1"/>
    <col min="2" max="2" width="44.33203125" style="67" customWidth="1"/>
    <col min="3" max="4" width="13.109375" style="67" customWidth="1"/>
    <col min="5" max="5" width="16.44140625" style="67" bestFit="1" customWidth="1"/>
    <col min="6" max="9" width="15.21875" style="67" bestFit="1" customWidth="1"/>
    <col min="10" max="10" width="14.88671875" style="67" bestFit="1" customWidth="1"/>
    <col min="11" max="12" width="15.21875" style="67" bestFit="1" customWidth="1"/>
    <col min="13" max="13" width="14.88671875" style="67" bestFit="1" customWidth="1"/>
    <col min="14" max="17" width="15.21875" style="67" bestFit="1" customWidth="1"/>
    <col min="18" max="18" width="15.88671875" style="67" bestFit="1" customWidth="1"/>
    <col min="19" max="16384" width="8.77734375" style="67"/>
  </cols>
  <sheetData>
    <row r="1" spans="1:20" s="66" customFormat="1" ht="30" customHeight="1" x14ac:dyDescent="0.25"/>
    <row r="2" spans="1:20" s="66" customFormat="1" ht="30" customHeight="1" x14ac:dyDescent="0.25"/>
    <row r="3" spans="1:20" s="66" customFormat="1" ht="30" customHeight="1" x14ac:dyDescent="0.25"/>
    <row r="4" spans="1:20" s="66" customFormat="1" ht="30" customHeight="1" x14ac:dyDescent="0.25"/>
    <row r="5" spans="1:20" s="66" customFormat="1" ht="30" customHeight="1" x14ac:dyDescent="0.25"/>
    <row r="6" spans="1:20" s="66" customFormat="1" ht="30" customHeight="1" x14ac:dyDescent="0.25"/>
    <row r="7" spans="1:20" s="66" customFormat="1" ht="17.399999999999999" x14ac:dyDescent="0.3">
      <c r="A7" s="67"/>
      <c r="B7" s="67"/>
      <c r="C7" s="67"/>
      <c r="D7" s="67"/>
      <c r="E7" s="167">
        <v>2019</v>
      </c>
      <c r="F7" s="385">
        <v>2020</v>
      </c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7"/>
      <c r="S7" s="67"/>
      <c r="T7" s="67"/>
    </row>
    <row r="8" spans="1:20" s="66" customFormat="1" ht="15" x14ac:dyDescent="0.25">
      <c r="E8" s="173" t="s">
        <v>69</v>
      </c>
      <c r="F8" s="388" t="s">
        <v>69</v>
      </c>
      <c r="G8" s="389"/>
      <c r="H8" s="390"/>
      <c r="I8" s="389" t="s">
        <v>84</v>
      </c>
      <c r="J8" s="389"/>
      <c r="K8" s="389"/>
      <c r="L8" s="389"/>
      <c r="M8" s="389"/>
      <c r="N8" s="389"/>
      <c r="O8" s="389"/>
      <c r="P8" s="389"/>
      <c r="Q8" s="389"/>
      <c r="R8" s="390"/>
      <c r="S8" s="67"/>
      <c r="T8" s="67"/>
    </row>
    <row r="9" spans="1:20" s="68" customFormat="1" ht="17.399999999999999" x14ac:dyDescent="0.3">
      <c r="E9" s="170" t="s">
        <v>70</v>
      </c>
      <c r="F9" s="170" t="s">
        <v>72</v>
      </c>
      <c r="G9" s="171" t="s">
        <v>73</v>
      </c>
      <c r="H9" s="172" t="s">
        <v>74</v>
      </c>
      <c r="I9" s="170" t="s">
        <v>75</v>
      </c>
      <c r="J9" s="171" t="s">
        <v>76</v>
      </c>
      <c r="K9" s="171" t="s">
        <v>77</v>
      </c>
      <c r="L9" s="171" t="s">
        <v>78</v>
      </c>
      <c r="M9" s="171" t="s">
        <v>79</v>
      </c>
      <c r="N9" s="171" t="s">
        <v>80</v>
      </c>
      <c r="O9" s="171" t="s">
        <v>81</v>
      </c>
      <c r="P9" s="171" t="s">
        <v>82</v>
      </c>
      <c r="Q9" s="172" t="s">
        <v>83</v>
      </c>
      <c r="R9" s="169" t="s">
        <v>70</v>
      </c>
      <c r="S9" s="67"/>
      <c r="T9" s="67"/>
    </row>
    <row r="10" spans="1:20" s="66" customFormat="1" ht="15" x14ac:dyDescent="0.25">
      <c r="B10" s="66" t="s">
        <v>0</v>
      </c>
      <c r="D10" s="70"/>
      <c r="E10" s="138" t="str">
        <f t="shared" ref="E10:H10" si="0">IFERROR(IF(ABS(E50)&gt;1,"ERROR","OK"),"OK")</f>
        <v>OK</v>
      </c>
      <c r="F10" s="138" t="str">
        <f t="shared" si="0"/>
        <v>OK</v>
      </c>
      <c r="G10" s="71" t="str">
        <f t="shared" si="0"/>
        <v>OK</v>
      </c>
      <c r="H10" s="139" t="str">
        <f t="shared" si="0"/>
        <v>OK</v>
      </c>
      <c r="I10" s="138" t="str">
        <f>IFERROR(IF(ABS(I50)&gt;1,"ERROR","OK"),"OK")</f>
        <v>OK</v>
      </c>
      <c r="J10" s="71" t="str">
        <f t="shared" ref="J10:Q10" si="1">IFERROR(IF(ABS(J50)&gt;1,"ERROR","OK"),"OK")</f>
        <v>OK</v>
      </c>
      <c r="K10" s="71" t="str">
        <f t="shared" si="1"/>
        <v>OK</v>
      </c>
      <c r="L10" s="71" t="str">
        <f t="shared" si="1"/>
        <v>OK</v>
      </c>
      <c r="M10" s="71" t="str">
        <f t="shared" si="1"/>
        <v>OK</v>
      </c>
      <c r="N10" s="71" t="str">
        <f t="shared" si="1"/>
        <v>OK</v>
      </c>
      <c r="O10" s="71" t="str">
        <f t="shared" si="1"/>
        <v>OK</v>
      </c>
      <c r="P10" s="71" t="str">
        <f t="shared" si="1"/>
        <v>OK</v>
      </c>
      <c r="Q10" s="71" t="str">
        <f t="shared" si="1"/>
        <v>OK</v>
      </c>
      <c r="R10" s="257"/>
      <c r="S10" s="67"/>
      <c r="T10" s="67"/>
    </row>
    <row r="11" spans="1:20" s="66" customFormat="1" ht="15" x14ac:dyDescent="0.25">
      <c r="D11" s="70"/>
      <c r="E11" s="140"/>
      <c r="F11" s="140"/>
      <c r="G11" s="76"/>
      <c r="H11" s="141"/>
      <c r="I11" s="252"/>
      <c r="J11" s="250"/>
      <c r="K11" s="250"/>
      <c r="L11" s="250"/>
      <c r="M11" s="250"/>
      <c r="N11" s="106"/>
      <c r="O11" s="106"/>
      <c r="P11" s="106"/>
      <c r="Q11" s="233"/>
      <c r="R11" s="257"/>
      <c r="S11" s="67"/>
      <c r="T11" s="67"/>
    </row>
    <row r="12" spans="1:20" s="66" customFormat="1" ht="21" thickBot="1" x14ac:dyDescent="0.4">
      <c r="B12" s="103" t="str">
        <f>+'(1) Budget 2020'!B12</f>
        <v>Income Statement</v>
      </c>
      <c r="C12" s="103"/>
      <c r="D12" s="103"/>
      <c r="E12" s="142"/>
      <c r="F12" s="142"/>
      <c r="G12" s="103"/>
      <c r="H12" s="143"/>
      <c r="I12" s="142"/>
      <c r="J12" s="103"/>
      <c r="K12" s="103"/>
      <c r="L12" s="103"/>
      <c r="M12" s="103"/>
      <c r="N12" s="103"/>
      <c r="O12" s="103"/>
      <c r="P12" s="103"/>
      <c r="Q12" s="143"/>
      <c r="R12" s="258"/>
      <c r="S12" s="67"/>
      <c r="T12" s="67"/>
    </row>
    <row r="13" spans="1:20" s="66" customFormat="1" ht="15" x14ac:dyDescent="0.25">
      <c r="B13" s="73" t="str">
        <f>+'(1) Budget 2020'!B13</f>
        <v>Revenue</v>
      </c>
      <c r="C13" s="73"/>
      <c r="D13" s="74"/>
      <c r="E13" s="239">
        <f>+'(1) Budget 2020'!E13</f>
        <v>12500000</v>
      </c>
      <c r="F13" s="239">
        <f>+'(1) Budget 2020'!F13</f>
        <v>781250</v>
      </c>
      <c r="G13" s="80">
        <f>+'(1) Budget 2020'!G13</f>
        <v>781250</v>
      </c>
      <c r="H13" s="249">
        <f>+'(1) Budget 2020'!H13</f>
        <v>781250</v>
      </c>
      <c r="I13" s="239">
        <f>+'(2) Oper. &amp; Fin. Levers'!F16</f>
        <v>781250</v>
      </c>
      <c r="J13" s="80">
        <f>+'(2) Oper. &amp; Fin. Levers'!G16</f>
        <v>1041666.6666666666</v>
      </c>
      <c r="K13" s="80">
        <f>+'(2) Oper. &amp; Fin. Levers'!H16</f>
        <v>1041666.6666666666</v>
      </c>
      <c r="L13" s="80">
        <f>+'(2) Oper. &amp; Fin. Levers'!I16</f>
        <v>1041666.6666666666</v>
      </c>
      <c r="M13" s="80">
        <f>+'(2) Oper. &amp; Fin. Levers'!J16</f>
        <v>1041666.6666666666</v>
      </c>
      <c r="N13" s="80">
        <f>+'(2) Oper. &amp; Fin. Levers'!K16</f>
        <v>2072916.6666666667</v>
      </c>
      <c r="O13" s="80">
        <f>+'(2) Oper. &amp; Fin. Levers'!L16</f>
        <v>1041666.6666666666</v>
      </c>
      <c r="P13" s="80">
        <f>+'(2) Oper. &amp; Fin. Levers'!M16</f>
        <v>1041666.6666666666</v>
      </c>
      <c r="Q13" s="249">
        <f>+'(2) Oper. &amp; Fin. Levers'!N16</f>
        <v>1692708.3333333333</v>
      </c>
      <c r="R13" s="259">
        <f>SUM(F13:Q13)</f>
        <v>13140625</v>
      </c>
      <c r="S13" s="67"/>
      <c r="T13" s="67"/>
    </row>
    <row r="14" spans="1:20" s="66" customFormat="1" ht="15" x14ac:dyDescent="0.25">
      <c r="B14" s="72" t="str">
        <f>+'(1) Budget 2020'!B14</f>
        <v>Cost of Goods Sold (COGS)</v>
      </c>
      <c r="C14" s="72"/>
      <c r="D14" s="75"/>
      <c r="E14" s="154">
        <f>+'(1) Budget 2020'!E14</f>
        <v>7500000</v>
      </c>
      <c r="F14" s="154">
        <f>+'(1) Budget 2020'!F14</f>
        <v>468750</v>
      </c>
      <c r="G14" s="100">
        <f>+'(1) Budget 2020'!G14</f>
        <v>468750</v>
      </c>
      <c r="H14" s="155">
        <f>+'(1) Budget 2020'!H14</f>
        <v>468750</v>
      </c>
      <c r="I14" s="154">
        <f>'(2) Oper. &amp; Fin. Levers'!F$29</f>
        <v>468750</v>
      </c>
      <c r="J14" s="100">
        <f>'(2) Oper. &amp; Fin. Levers'!G$29</f>
        <v>625000</v>
      </c>
      <c r="K14" s="100">
        <f>'(2) Oper. &amp; Fin. Levers'!H$29</f>
        <v>625000</v>
      </c>
      <c r="L14" s="100">
        <f>'(2) Oper. &amp; Fin. Levers'!I$29</f>
        <v>625000</v>
      </c>
      <c r="M14" s="100">
        <f>'(2) Oper. &amp; Fin. Levers'!J$29</f>
        <v>625000</v>
      </c>
      <c r="N14" s="100">
        <f>'(2) Oper. &amp; Fin. Levers'!K$29</f>
        <v>1243750</v>
      </c>
      <c r="O14" s="100">
        <f>'(2) Oper. &amp; Fin. Levers'!L$29</f>
        <v>625000</v>
      </c>
      <c r="P14" s="100">
        <f>'(2) Oper. &amp; Fin. Levers'!M$29</f>
        <v>625000</v>
      </c>
      <c r="Q14" s="155">
        <f>'(2) Oper. &amp; Fin. Levers'!N$29</f>
        <v>1015624.9999999999</v>
      </c>
      <c r="R14" s="259">
        <f t="shared" ref="R14:R28" si="2">SUM(F14:Q14)</f>
        <v>7884375</v>
      </c>
      <c r="S14" s="67"/>
      <c r="T14" s="67"/>
    </row>
    <row r="15" spans="1:20" s="66" customFormat="1" ht="15" x14ac:dyDescent="0.25">
      <c r="B15" s="72"/>
      <c r="C15" s="72"/>
      <c r="D15" s="75"/>
      <c r="E15" s="154"/>
      <c r="F15" s="154"/>
      <c r="G15" s="100"/>
      <c r="H15" s="155"/>
      <c r="I15" s="154"/>
      <c r="J15" s="100"/>
      <c r="K15" s="100"/>
      <c r="L15" s="100"/>
      <c r="M15" s="100"/>
      <c r="N15" s="100"/>
      <c r="O15" s="100"/>
      <c r="P15" s="100"/>
      <c r="Q15" s="155"/>
      <c r="R15" s="259"/>
      <c r="S15" s="67"/>
      <c r="T15" s="67"/>
    </row>
    <row r="16" spans="1:20" s="66" customFormat="1" ht="15" x14ac:dyDescent="0.25">
      <c r="B16" s="81" t="str">
        <f>+'(1) Budget 2020'!B16</f>
        <v>Gross Profit</v>
      </c>
      <c r="C16" s="81"/>
      <c r="D16" s="82"/>
      <c r="E16" s="148">
        <f>+'(1) Budget 2020'!E16</f>
        <v>5000000</v>
      </c>
      <c r="F16" s="148">
        <f>+'(1) Budget 2020'!F16</f>
        <v>312500</v>
      </c>
      <c r="G16" s="83">
        <f>+'(1) Budget 2020'!G16</f>
        <v>312500</v>
      </c>
      <c r="H16" s="149">
        <f>+'(1) Budget 2020'!H16</f>
        <v>312500</v>
      </c>
      <c r="I16" s="148">
        <f t="shared" ref="I16:Q16" si="3">I13-I14</f>
        <v>312500</v>
      </c>
      <c r="J16" s="83">
        <f t="shared" si="3"/>
        <v>416666.66666666663</v>
      </c>
      <c r="K16" s="83">
        <f t="shared" si="3"/>
        <v>416666.66666666663</v>
      </c>
      <c r="L16" s="83">
        <f t="shared" si="3"/>
        <v>416666.66666666663</v>
      </c>
      <c r="M16" s="83">
        <f t="shared" si="3"/>
        <v>416666.66666666663</v>
      </c>
      <c r="N16" s="83">
        <f t="shared" si="3"/>
        <v>829166.66666666674</v>
      </c>
      <c r="O16" s="83">
        <f t="shared" si="3"/>
        <v>416666.66666666663</v>
      </c>
      <c r="P16" s="83">
        <f t="shared" si="3"/>
        <v>416666.66666666663</v>
      </c>
      <c r="Q16" s="149">
        <f t="shared" si="3"/>
        <v>677083.33333333337</v>
      </c>
      <c r="R16" s="260">
        <f t="shared" si="2"/>
        <v>5256249.9999999991</v>
      </c>
      <c r="S16" s="67"/>
      <c r="T16" s="67"/>
    </row>
    <row r="17" spans="2:20" s="66" customFormat="1" ht="15" x14ac:dyDescent="0.25">
      <c r="B17" s="84" t="str">
        <f>+'(1) Budget 2020'!B17</f>
        <v>Expenses</v>
      </c>
      <c r="C17" s="84"/>
      <c r="D17" s="85"/>
      <c r="E17" s="239">
        <f>SUM(E18:E20)</f>
        <v>4500000</v>
      </c>
      <c r="F17" s="239">
        <f t="shared" ref="F17:Q17" si="4">SUM(F18:F20)</f>
        <v>375000</v>
      </c>
      <c r="G17" s="80">
        <f t="shared" si="4"/>
        <v>375000</v>
      </c>
      <c r="H17" s="249">
        <f t="shared" si="4"/>
        <v>375000</v>
      </c>
      <c r="I17" s="239">
        <f t="shared" si="4"/>
        <v>375000</v>
      </c>
      <c r="J17" s="80">
        <f t="shared" si="4"/>
        <v>375000</v>
      </c>
      <c r="K17" s="80">
        <f t="shared" si="4"/>
        <v>375000</v>
      </c>
      <c r="L17" s="80">
        <f t="shared" si="4"/>
        <v>375000</v>
      </c>
      <c r="M17" s="80">
        <f t="shared" si="4"/>
        <v>375000</v>
      </c>
      <c r="N17" s="265">
        <f t="shared" si="4"/>
        <v>375000</v>
      </c>
      <c r="O17" s="265">
        <f t="shared" si="4"/>
        <v>375000</v>
      </c>
      <c r="P17" s="265">
        <f t="shared" si="4"/>
        <v>375000</v>
      </c>
      <c r="Q17" s="266">
        <f t="shared" si="4"/>
        <v>375000</v>
      </c>
      <c r="R17" s="259">
        <f t="shared" si="2"/>
        <v>4500000</v>
      </c>
      <c r="S17" s="67"/>
      <c r="T17" s="67"/>
    </row>
    <row r="18" spans="2:20" s="66" customFormat="1" ht="15" x14ac:dyDescent="0.25">
      <c r="B18" s="66" t="str">
        <f>+'(1) Budget 2020'!B18</f>
        <v>Write-off Inventory</v>
      </c>
      <c r="C18" s="84"/>
      <c r="D18" s="85"/>
      <c r="E18" s="239">
        <f>+'(1) Budget 2020'!E18</f>
        <v>0</v>
      </c>
      <c r="F18" s="239">
        <f>+'(1) Budget 2020'!F18</f>
        <v>0</v>
      </c>
      <c r="G18" s="80">
        <f>+'(1) Budget 2020'!G18</f>
        <v>0</v>
      </c>
      <c r="H18" s="249">
        <f>+'(1) Budget 2020'!H18</f>
        <v>0</v>
      </c>
      <c r="I18" s="239">
        <f>IF('(2) Oper. &amp; Fin. Levers'!$C$101="Yes",'(2) Oper. &amp; Fin. Levers'!F108,0)</f>
        <v>0</v>
      </c>
      <c r="J18" s="80">
        <f>IF('(2) Oper. &amp; Fin. Levers'!$C$101="Yes",'(2) Oper. &amp; Fin. Levers'!G108,0)</f>
        <v>0</v>
      </c>
      <c r="K18" s="80">
        <f>IF('(2) Oper. &amp; Fin. Levers'!$C$101="Yes",'(2) Oper. &amp; Fin. Levers'!H108,0)</f>
        <v>0</v>
      </c>
      <c r="L18" s="80">
        <f>IF('(2) Oper. &amp; Fin. Levers'!$C$101="Yes",'(2) Oper. &amp; Fin. Levers'!I108,0)</f>
        <v>0</v>
      </c>
      <c r="M18" s="80">
        <f>IF('(2) Oper. &amp; Fin. Levers'!$C$101="Yes",'(2) Oper. &amp; Fin. Levers'!J108,0)</f>
        <v>0</v>
      </c>
      <c r="N18" s="80">
        <f>IF('(2) Oper. &amp; Fin. Levers'!$C$101="Yes",'(2) Oper. &amp; Fin. Levers'!K108,0)</f>
        <v>0</v>
      </c>
      <c r="O18" s="80">
        <f>IF('(2) Oper. &amp; Fin. Levers'!$C$101="Yes",'(2) Oper. &amp; Fin. Levers'!L108,0)</f>
        <v>0</v>
      </c>
      <c r="P18" s="80">
        <f>IF('(2) Oper. &amp; Fin. Levers'!$C$101="Yes",'(2) Oper. &amp; Fin. Levers'!M108,0)</f>
        <v>0</v>
      </c>
      <c r="Q18" s="249">
        <f>IF('(2) Oper. &amp; Fin. Levers'!$C$101="Yes",'(2) Oper. &amp; Fin. Levers'!N108,0)</f>
        <v>0</v>
      </c>
      <c r="R18" s="261">
        <f t="shared" si="2"/>
        <v>0</v>
      </c>
      <c r="S18" s="67"/>
      <c r="T18" s="67"/>
    </row>
    <row r="19" spans="2:20" s="66" customFormat="1" ht="15" x14ac:dyDescent="0.25">
      <c r="B19" s="66" t="str">
        <f>+'(1) Budget 2020'!B19</f>
        <v>Salaries and Benefits</v>
      </c>
      <c r="D19" s="70"/>
      <c r="E19" s="154">
        <f>+'(1) Budget 2020'!E19</f>
        <v>500000</v>
      </c>
      <c r="F19" s="154">
        <f>+'(1) Budget 2020'!F19</f>
        <v>41666.666666666664</v>
      </c>
      <c r="G19" s="100">
        <f>+'(1) Budget 2020'!G19</f>
        <v>41666.666666666664</v>
      </c>
      <c r="H19" s="155">
        <f>+'(1) Budget 2020'!H19</f>
        <v>41666.666666666664</v>
      </c>
      <c r="I19" s="140">
        <f>'(2) Oper. &amp; Fin. Levers'!F43</f>
        <v>41666.666666666664</v>
      </c>
      <c r="J19" s="76">
        <f>'(2) Oper. &amp; Fin. Levers'!G43</f>
        <v>41666.666666666664</v>
      </c>
      <c r="K19" s="76">
        <f>'(2) Oper. &amp; Fin. Levers'!H43</f>
        <v>41666.666666666664</v>
      </c>
      <c r="L19" s="76">
        <f>'(2) Oper. &amp; Fin. Levers'!I43</f>
        <v>41666.666666666664</v>
      </c>
      <c r="M19" s="76">
        <f>'(2) Oper. &amp; Fin. Levers'!J43</f>
        <v>41666.666666666664</v>
      </c>
      <c r="N19" s="76">
        <f>'(2) Oper. &amp; Fin. Levers'!K43</f>
        <v>41666.666666666664</v>
      </c>
      <c r="O19" s="76">
        <f>'(2) Oper. &amp; Fin. Levers'!L43</f>
        <v>41666.666666666664</v>
      </c>
      <c r="P19" s="76">
        <f>'(2) Oper. &amp; Fin. Levers'!M43</f>
        <v>41666.666666666664</v>
      </c>
      <c r="Q19" s="141">
        <f>'(2) Oper. &amp; Fin. Levers'!N43</f>
        <v>41666.666666666664</v>
      </c>
      <c r="R19" s="259">
        <f t="shared" si="2"/>
        <v>500000.00000000006</v>
      </c>
      <c r="S19" s="67"/>
      <c r="T19" s="67"/>
    </row>
    <row r="20" spans="2:20" s="66" customFormat="1" ht="15" x14ac:dyDescent="0.25">
      <c r="B20" s="66" t="str">
        <f>+'(1) Budget 2020'!B20</f>
        <v>Rent and Overhead</v>
      </c>
      <c r="D20" s="70"/>
      <c r="E20" s="154">
        <f>+'(1) Budget 2020'!E20</f>
        <v>4000000</v>
      </c>
      <c r="F20" s="154">
        <f>+'(1) Budget 2020'!F20</f>
        <v>333333.33333333331</v>
      </c>
      <c r="G20" s="100">
        <f>+'(1) Budget 2020'!G20</f>
        <v>333333.33333333331</v>
      </c>
      <c r="H20" s="155">
        <f>+'(1) Budget 2020'!H20</f>
        <v>333333.33333333331</v>
      </c>
      <c r="I20" s="140">
        <f>'(2) Oper. &amp; Fin. Levers'!F54</f>
        <v>333333.33333333331</v>
      </c>
      <c r="J20" s="76">
        <f>'(2) Oper. &amp; Fin. Levers'!G54</f>
        <v>333333.33333333331</v>
      </c>
      <c r="K20" s="76">
        <f>'(2) Oper. &amp; Fin. Levers'!H54</f>
        <v>333333.33333333331</v>
      </c>
      <c r="L20" s="76">
        <f>'(2) Oper. &amp; Fin. Levers'!I54</f>
        <v>333333.33333333331</v>
      </c>
      <c r="M20" s="76">
        <f>'(2) Oper. &amp; Fin. Levers'!J54</f>
        <v>333333.33333333331</v>
      </c>
      <c r="N20" s="76">
        <f>'(2) Oper. &amp; Fin. Levers'!K54</f>
        <v>333333.33333333331</v>
      </c>
      <c r="O20" s="76">
        <f>'(2) Oper. &amp; Fin. Levers'!L54</f>
        <v>333333.33333333331</v>
      </c>
      <c r="P20" s="76">
        <f>'(2) Oper. &amp; Fin. Levers'!M54</f>
        <v>333333.33333333331</v>
      </c>
      <c r="Q20" s="141">
        <f>'(2) Oper. &amp; Fin. Levers'!N54</f>
        <v>333333.33333333331</v>
      </c>
      <c r="R20" s="259">
        <f t="shared" si="2"/>
        <v>4000000.0000000005</v>
      </c>
      <c r="S20" s="67"/>
      <c r="T20" s="67"/>
    </row>
    <row r="21" spans="2:20" s="66" customFormat="1" ht="15" x14ac:dyDescent="0.25">
      <c r="D21" s="70"/>
      <c r="E21" s="154"/>
      <c r="F21" s="154"/>
      <c r="G21" s="100"/>
      <c r="H21" s="155"/>
      <c r="I21" s="140"/>
      <c r="J21" s="76"/>
      <c r="K21" s="76"/>
      <c r="L21" s="76"/>
      <c r="M21" s="76"/>
      <c r="N21" s="76"/>
      <c r="O21" s="76"/>
      <c r="P21" s="76"/>
      <c r="Q21" s="141"/>
      <c r="R21" s="259">
        <f t="shared" si="2"/>
        <v>0</v>
      </c>
      <c r="S21" s="67"/>
      <c r="T21" s="67"/>
    </row>
    <row r="22" spans="2:20" s="66" customFormat="1" ht="15" x14ac:dyDescent="0.25">
      <c r="B22" s="81" t="s">
        <v>165</v>
      </c>
      <c r="C22" s="81"/>
      <c r="D22" s="82"/>
      <c r="E22" s="148">
        <f>E16-E18-E19-E20</f>
        <v>500000</v>
      </c>
      <c r="F22" s="148">
        <f t="shared" ref="F22:Q22" si="5">F16-F18-F19-F20</f>
        <v>-62500</v>
      </c>
      <c r="G22" s="83">
        <f t="shared" si="5"/>
        <v>-62500</v>
      </c>
      <c r="H22" s="149">
        <f t="shared" si="5"/>
        <v>-62500</v>
      </c>
      <c r="I22" s="148">
        <f t="shared" si="5"/>
        <v>-62500</v>
      </c>
      <c r="J22" s="83">
        <f t="shared" si="5"/>
        <v>41666.666666666628</v>
      </c>
      <c r="K22" s="83">
        <f t="shared" si="5"/>
        <v>41666.666666666628</v>
      </c>
      <c r="L22" s="83">
        <f t="shared" si="5"/>
        <v>41666.666666666628</v>
      </c>
      <c r="M22" s="83">
        <f t="shared" si="5"/>
        <v>41666.666666666628</v>
      </c>
      <c r="N22" s="83">
        <f t="shared" si="5"/>
        <v>454166.6666666668</v>
      </c>
      <c r="O22" s="83">
        <f t="shared" si="5"/>
        <v>41666.666666666628</v>
      </c>
      <c r="P22" s="83">
        <f t="shared" si="5"/>
        <v>41666.666666666628</v>
      </c>
      <c r="Q22" s="149">
        <f t="shared" si="5"/>
        <v>302083.33333333343</v>
      </c>
      <c r="R22" s="260">
        <f t="shared" si="2"/>
        <v>756250</v>
      </c>
      <c r="S22" s="67"/>
      <c r="T22" s="67"/>
    </row>
    <row r="23" spans="2:20" s="66" customFormat="1" ht="15" x14ac:dyDescent="0.25">
      <c r="B23" s="66" t="str">
        <f>+'(1) Budget 2020'!B23</f>
        <v>Depreciation &amp; Amortization</v>
      </c>
      <c r="D23" s="70"/>
      <c r="E23" s="154">
        <f>+'(1) Budget 2020'!E23</f>
        <v>150000</v>
      </c>
      <c r="F23" s="154">
        <f>+'(1) Budget 2020'!F23</f>
        <v>12500</v>
      </c>
      <c r="G23" s="100">
        <f>+'(1) Budget 2020'!G23</f>
        <v>12500</v>
      </c>
      <c r="H23" s="155">
        <f>+'(1) Budget 2020'!H23</f>
        <v>12500</v>
      </c>
      <c r="I23" s="140">
        <f>+'(2) Oper. &amp; Fin. Levers'!F70</f>
        <v>12500</v>
      </c>
      <c r="J23" s="76">
        <f>+'(2) Oper. &amp; Fin. Levers'!G70</f>
        <v>13020.833333333334</v>
      </c>
      <c r="K23" s="76">
        <f>+'(2) Oper. &amp; Fin. Levers'!H70</f>
        <v>13020.833333333334</v>
      </c>
      <c r="L23" s="76">
        <f>+'(2) Oper. &amp; Fin. Levers'!I70</f>
        <v>13020.833333333334</v>
      </c>
      <c r="M23" s="76">
        <f>+'(2) Oper. &amp; Fin. Levers'!J70</f>
        <v>13020.833333333334</v>
      </c>
      <c r="N23" s="76">
        <f>+'(2) Oper. &amp; Fin. Levers'!K70</f>
        <v>13020.833333333334</v>
      </c>
      <c r="O23" s="76">
        <f>+'(2) Oper. &amp; Fin. Levers'!L70</f>
        <v>13020.833333333334</v>
      </c>
      <c r="P23" s="76">
        <f>+'(2) Oper. &amp; Fin. Levers'!M70</f>
        <v>13020.833333333334</v>
      </c>
      <c r="Q23" s="141">
        <f>+'(2) Oper. &amp; Fin. Levers'!N70</f>
        <v>13020.833333333334</v>
      </c>
      <c r="R23" s="259">
        <f t="shared" si="2"/>
        <v>154166.66666666666</v>
      </c>
      <c r="S23" s="67"/>
      <c r="T23" s="67"/>
    </row>
    <row r="24" spans="2:20" s="66" customFormat="1" ht="15" x14ac:dyDescent="0.25">
      <c r="E24" s="154"/>
      <c r="F24" s="154"/>
      <c r="G24" s="100"/>
      <c r="H24" s="155"/>
      <c r="I24" s="154"/>
      <c r="J24" s="100"/>
      <c r="K24" s="100"/>
      <c r="L24" s="100"/>
      <c r="M24" s="100"/>
      <c r="N24" s="100"/>
      <c r="O24" s="100"/>
      <c r="P24" s="100"/>
      <c r="Q24" s="155"/>
      <c r="R24" s="267"/>
      <c r="S24" s="67"/>
      <c r="T24" s="67"/>
    </row>
    <row r="25" spans="2:20" s="66" customFormat="1" ht="15" x14ac:dyDescent="0.25">
      <c r="B25" s="81" t="s">
        <v>164</v>
      </c>
      <c r="C25" s="98"/>
      <c r="D25" s="99"/>
      <c r="E25" s="148">
        <f>+E22-E23</f>
        <v>350000</v>
      </c>
      <c r="F25" s="148">
        <f t="shared" ref="F25:Q25" si="6">+F22-F23</f>
        <v>-75000</v>
      </c>
      <c r="G25" s="83">
        <f t="shared" si="6"/>
        <v>-75000</v>
      </c>
      <c r="H25" s="149">
        <f t="shared" si="6"/>
        <v>-75000</v>
      </c>
      <c r="I25" s="148">
        <f t="shared" si="6"/>
        <v>-75000</v>
      </c>
      <c r="J25" s="83">
        <f t="shared" si="6"/>
        <v>28645.833333333292</v>
      </c>
      <c r="K25" s="83">
        <f t="shared" si="6"/>
        <v>28645.833333333292</v>
      </c>
      <c r="L25" s="83">
        <f t="shared" si="6"/>
        <v>28645.833333333292</v>
      </c>
      <c r="M25" s="83">
        <f t="shared" si="6"/>
        <v>28645.833333333292</v>
      </c>
      <c r="N25" s="83">
        <f t="shared" si="6"/>
        <v>441145.83333333349</v>
      </c>
      <c r="O25" s="83">
        <f t="shared" si="6"/>
        <v>28645.833333333292</v>
      </c>
      <c r="P25" s="83">
        <f t="shared" si="6"/>
        <v>28645.833333333292</v>
      </c>
      <c r="Q25" s="149">
        <f t="shared" si="6"/>
        <v>289062.50000000012</v>
      </c>
      <c r="R25" s="260">
        <f t="shared" si="2"/>
        <v>602083.33333333337</v>
      </c>
      <c r="S25" s="67"/>
      <c r="T25" s="67"/>
    </row>
    <row r="26" spans="2:20" s="66" customFormat="1" ht="15" x14ac:dyDescent="0.25">
      <c r="B26" s="72" t="str">
        <f>+'(1) Budget 2020'!B26</f>
        <v>Interest</v>
      </c>
      <c r="C26" s="72"/>
      <c r="D26" s="75"/>
      <c r="E26" s="154">
        <f>+'(1) Budget 2020'!E26</f>
        <v>50000</v>
      </c>
      <c r="F26" s="154">
        <f>+'(1) Budget 2020'!F26</f>
        <v>4166.666666666667</v>
      </c>
      <c r="G26" s="100">
        <f>+'(1) Budget 2020'!G26</f>
        <v>4166.666666666667</v>
      </c>
      <c r="H26" s="155">
        <f>+'(1) Budget 2020'!H26</f>
        <v>4166.666666666667</v>
      </c>
      <c r="I26" s="154">
        <f>+'(2) Oper. &amp; Fin. Levers'!F139</f>
        <v>4166.666666666667</v>
      </c>
      <c r="J26" s="100">
        <f>+'(2) Oper. &amp; Fin. Levers'!G139</f>
        <v>3869.0476190476188</v>
      </c>
      <c r="K26" s="100">
        <f>+'(2) Oper. &amp; Fin. Levers'!H139</f>
        <v>3869.0476190476188</v>
      </c>
      <c r="L26" s="100">
        <f>+'(2) Oper. &amp; Fin. Levers'!I139</f>
        <v>3869.0476190476188</v>
      </c>
      <c r="M26" s="100">
        <f>+'(2) Oper. &amp; Fin. Levers'!J139</f>
        <v>3869.0476190476188</v>
      </c>
      <c r="N26" s="100">
        <f>+'(2) Oper. &amp; Fin. Levers'!K139</f>
        <v>3869.0476190476188</v>
      </c>
      <c r="O26" s="100">
        <f>+'(2) Oper. &amp; Fin. Levers'!L139</f>
        <v>3869.0476190476188</v>
      </c>
      <c r="P26" s="100">
        <f>+'(2) Oper. &amp; Fin. Levers'!M139</f>
        <v>3869.0476190476188</v>
      </c>
      <c r="Q26" s="155">
        <f>+'(2) Oper. &amp; Fin. Levers'!N139</f>
        <v>3869.0476190476188</v>
      </c>
      <c r="R26" s="259">
        <f t="shared" si="2"/>
        <v>47619.047619047618</v>
      </c>
      <c r="S26" s="67"/>
      <c r="T26" s="67"/>
    </row>
    <row r="27" spans="2:20" s="66" customFormat="1" ht="15" x14ac:dyDescent="0.25">
      <c r="B27" s="72" t="str">
        <f>+'(1) Budget 2020'!B27</f>
        <v>Taxes</v>
      </c>
      <c r="C27" s="72"/>
      <c r="D27" s="75"/>
      <c r="E27" s="154">
        <f>+'(1) Budget 2020'!E27</f>
        <v>125000</v>
      </c>
      <c r="F27" s="154">
        <f>+'(1) Budget 2020'!F27</f>
        <v>-32986.111111111117</v>
      </c>
      <c r="G27" s="100">
        <f>+'(1) Budget 2020'!G27</f>
        <v>-32986.111111111117</v>
      </c>
      <c r="H27" s="155">
        <f>+'(1) Budget 2020'!H27</f>
        <v>-32986.111111111117</v>
      </c>
      <c r="I27" s="268">
        <f>(+I25-I26)*'(2) Oper. &amp; Fin. Levers'!$C78</f>
        <v>-32986.111111111117</v>
      </c>
      <c r="J27" s="269">
        <f>(+J25-J26)*'(2) Oper. &amp; Fin. Levers'!$C78</f>
        <v>10323.660714285697</v>
      </c>
      <c r="K27" s="269">
        <f>(+K25-K26)*'(2) Oper. &amp; Fin. Levers'!$C78</f>
        <v>10323.660714285697</v>
      </c>
      <c r="L27" s="269">
        <f>(+L25-L26)*'(2) Oper. &amp; Fin. Levers'!$C78</f>
        <v>10323.660714285697</v>
      </c>
      <c r="M27" s="269">
        <f>(+M25-M26)*'(2) Oper. &amp; Fin. Levers'!$C78</f>
        <v>10323.660714285697</v>
      </c>
      <c r="N27" s="269">
        <f>(+N25-N26)*'(2) Oper. &amp; Fin. Levers'!$C78</f>
        <v>182198.66071428577</v>
      </c>
      <c r="O27" s="269">
        <f>(+O25-O26)*'(2) Oper. &amp; Fin. Levers'!$C78</f>
        <v>10323.660714285697</v>
      </c>
      <c r="P27" s="269">
        <f>(+P25-P26)*'(2) Oper. &amp; Fin. Levers'!$C78</f>
        <v>10323.660714285697</v>
      </c>
      <c r="Q27" s="270">
        <f>(+Q25-Q26)*'(2) Oper. &amp; Fin. Levers'!$C78</f>
        <v>118830.60515873021</v>
      </c>
      <c r="R27" s="259">
        <f t="shared" si="2"/>
        <v>231026.78571428568</v>
      </c>
      <c r="S27" s="67"/>
      <c r="T27" s="67"/>
    </row>
    <row r="28" spans="2:20" s="66" customFormat="1" ht="15" x14ac:dyDescent="0.25">
      <c r="B28" s="72" t="s">
        <v>161</v>
      </c>
      <c r="C28" s="72"/>
      <c r="D28" s="75"/>
      <c r="E28" s="154">
        <v>0</v>
      </c>
      <c r="F28" s="154">
        <v>0</v>
      </c>
      <c r="G28" s="100">
        <v>0</v>
      </c>
      <c r="H28" s="155">
        <v>0</v>
      </c>
      <c r="I28" s="154">
        <f>'(2) Oper. &amp; Fin. Levers'!F178</f>
        <v>0</v>
      </c>
      <c r="J28" s="100">
        <f>'(2) Oper. &amp; Fin. Levers'!G178</f>
        <v>0</v>
      </c>
      <c r="K28" s="100">
        <f>'(2) Oper. &amp; Fin. Levers'!H178</f>
        <v>0</v>
      </c>
      <c r="L28" s="100">
        <f>'(2) Oper. &amp; Fin. Levers'!I178</f>
        <v>0</v>
      </c>
      <c r="M28" s="100">
        <f>'(2) Oper. &amp; Fin. Levers'!J178</f>
        <v>0</v>
      </c>
      <c r="N28" s="100">
        <f>'(2) Oper. &amp; Fin. Levers'!K178</f>
        <v>0</v>
      </c>
      <c r="O28" s="100">
        <f>'(2) Oper. &amp; Fin. Levers'!L178</f>
        <v>0</v>
      </c>
      <c r="P28" s="100">
        <f>'(2) Oper. &amp; Fin. Levers'!M178</f>
        <v>0</v>
      </c>
      <c r="Q28" s="155">
        <f>'(2) Oper. &amp; Fin. Levers'!N178</f>
        <v>0</v>
      </c>
      <c r="R28" s="267">
        <f t="shared" si="2"/>
        <v>0</v>
      </c>
      <c r="S28" s="67"/>
      <c r="T28" s="67"/>
    </row>
    <row r="29" spans="2:20" s="66" customFormat="1" ht="15.6" thickBot="1" x14ac:dyDescent="0.3">
      <c r="B29" s="87" t="str">
        <f>+'(1) Budget 2020'!B29</f>
        <v>PAT</v>
      </c>
      <c r="C29" s="87"/>
      <c r="D29" s="88"/>
      <c r="E29" s="152">
        <f>+E25-E26-E27-E28</f>
        <v>175000</v>
      </c>
      <c r="F29" s="152">
        <f t="shared" ref="F29:R29" si="7">+F25-F26-F27-F28</f>
        <v>-46180.555555555555</v>
      </c>
      <c r="G29" s="89">
        <f t="shared" si="7"/>
        <v>-46180.555555555555</v>
      </c>
      <c r="H29" s="153">
        <f t="shared" si="7"/>
        <v>-46180.555555555555</v>
      </c>
      <c r="I29" s="152">
        <f>+I25-I26-I27-I28</f>
        <v>-46180.555555555555</v>
      </c>
      <c r="J29" s="89">
        <f t="shared" si="7"/>
        <v>14453.124999999976</v>
      </c>
      <c r="K29" s="89">
        <f t="shared" si="7"/>
        <v>14453.124999999976</v>
      </c>
      <c r="L29" s="89">
        <f t="shared" si="7"/>
        <v>14453.124999999976</v>
      </c>
      <c r="M29" s="89">
        <f t="shared" si="7"/>
        <v>14453.124999999976</v>
      </c>
      <c r="N29" s="89">
        <f t="shared" si="7"/>
        <v>255078.12500000009</v>
      </c>
      <c r="O29" s="89">
        <f t="shared" si="7"/>
        <v>14453.124999999976</v>
      </c>
      <c r="P29" s="89">
        <f t="shared" si="7"/>
        <v>14453.124999999976</v>
      </c>
      <c r="Q29" s="153">
        <f t="shared" si="7"/>
        <v>166362.84722222228</v>
      </c>
      <c r="R29" s="263">
        <f t="shared" si="7"/>
        <v>323437.50000000012</v>
      </c>
      <c r="S29" s="67"/>
      <c r="T29" s="67"/>
    </row>
    <row r="30" spans="2:20" s="66" customFormat="1" ht="15.6" thickTop="1" x14ac:dyDescent="0.25">
      <c r="D30" s="70"/>
      <c r="E30" s="154"/>
      <c r="F30" s="154"/>
      <c r="G30" s="100"/>
      <c r="H30" s="155"/>
      <c r="I30" s="154"/>
      <c r="J30" s="100"/>
      <c r="K30" s="100"/>
      <c r="L30" s="100"/>
      <c r="M30" s="100"/>
      <c r="N30" s="100"/>
      <c r="O30" s="100"/>
      <c r="P30" s="100"/>
      <c r="Q30" s="155"/>
      <c r="R30" s="267"/>
      <c r="S30" s="67"/>
      <c r="T30" s="67"/>
    </row>
    <row r="31" spans="2:20" s="66" customFormat="1" ht="15" x14ac:dyDescent="0.25">
      <c r="D31" s="70"/>
      <c r="E31" s="154"/>
      <c r="F31" s="154"/>
      <c r="G31" s="100"/>
      <c r="H31" s="155"/>
      <c r="I31" s="154"/>
      <c r="J31" s="100"/>
      <c r="K31" s="100"/>
      <c r="L31" s="100"/>
      <c r="M31" s="100"/>
      <c r="N31" s="265"/>
      <c r="O31" s="265"/>
      <c r="P31" s="265"/>
      <c r="Q31" s="266"/>
      <c r="R31" s="271"/>
      <c r="S31" s="67"/>
      <c r="T31" s="67"/>
    </row>
    <row r="32" spans="2:20" s="66" customFormat="1" ht="21" thickBot="1" x14ac:dyDescent="0.4">
      <c r="B32" s="103" t="str">
        <f>+'(1) Budget 2020'!B32</f>
        <v>Balance Sheet</v>
      </c>
      <c r="C32" s="103"/>
      <c r="D32" s="103"/>
      <c r="E32" s="242"/>
      <c r="F32" s="242"/>
      <c r="G32" s="188"/>
      <c r="H32" s="243"/>
      <c r="I32" s="242"/>
      <c r="J32" s="188"/>
      <c r="K32" s="188"/>
      <c r="L32" s="188"/>
      <c r="M32" s="188"/>
      <c r="N32" s="188"/>
      <c r="O32" s="188"/>
      <c r="P32" s="188"/>
      <c r="Q32" s="243"/>
      <c r="R32" s="272"/>
      <c r="S32" s="67"/>
      <c r="T32" s="67"/>
    </row>
    <row r="33" spans="2:20" s="66" customFormat="1" ht="15" x14ac:dyDescent="0.25">
      <c r="B33" s="73" t="str">
        <f>+'(1) Budget 2020'!B33</f>
        <v>Assets</v>
      </c>
      <c r="D33" s="70"/>
      <c r="E33" s="154"/>
      <c r="F33" s="154"/>
      <c r="G33" s="100"/>
      <c r="H33" s="155"/>
      <c r="I33" s="154"/>
      <c r="J33" s="100"/>
      <c r="K33" s="100"/>
      <c r="L33" s="100"/>
      <c r="M33" s="100"/>
      <c r="N33" s="265"/>
      <c r="O33" s="265"/>
      <c r="P33" s="265"/>
      <c r="Q33" s="266"/>
      <c r="R33" s="271"/>
      <c r="S33" s="67"/>
      <c r="T33" s="67"/>
    </row>
    <row r="34" spans="2:20" s="66" customFormat="1" ht="15" x14ac:dyDescent="0.25">
      <c r="B34" s="66" t="str">
        <f>+'(1) Budget 2020'!B34</f>
        <v>Cash</v>
      </c>
      <c r="D34" s="67"/>
      <c r="E34" s="154">
        <f>+'(1) Budget 2020'!E34</f>
        <v>475000</v>
      </c>
      <c r="F34" s="154">
        <f>+'(1) Budget 2020'!F34</f>
        <v>494977.1689497715</v>
      </c>
      <c r="G34" s="100">
        <f>+'(1) Budget 2020'!G34</f>
        <v>504509.60155125998</v>
      </c>
      <c r="H34" s="155">
        <f>+'(1) Budget 2020'!H34</f>
        <v>504856.38930946396</v>
      </c>
      <c r="I34" s="154">
        <f>+I74</f>
        <v>397124.84283562913</v>
      </c>
      <c r="J34" s="100">
        <f>J74</f>
        <v>223967.68630854209</v>
      </c>
      <c r="K34" s="100">
        <f>K74</f>
        <v>198592.29268178472</v>
      </c>
      <c r="L34" s="100">
        <f>L74</f>
        <v>202818.57729522692</v>
      </c>
      <c r="M34" s="100">
        <f>M74</f>
        <v>211091.81729251426</v>
      </c>
      <c r="N34" s="100">
        <f t="shared" ref="N34:Q34" si="8">N74</f>
        <v>451776.90024381434</v>
      </c>
      <c r="O34" s="100">
        <f t="shared" si="8"/>
        <v>488877.60398480843</v>
      </c>
      <c r="P34" s="100">
        <f t="shared" si="8"/>
        <v>526062.31943399785</v>
      </c>
      <c r="Q34" s="100">
        <f t="shared" si="8"/>
        <v>707798.65887861408</v>
      </c>
      <c r="R34" s="271"/>
      <c r="S34" s="67"/>
      <c r="T34" s="67"/>
    </row>
    <row r="35" spans="2:20" s="66" customFormat="1" ht="15" x14ac:dyDescent="0.25">
      <c r="B35" s="66" t="str">
        <f>+'(1) Budget 2020'!B35</f>
        <v>Accounts Receivable</v>
      </c>
      <c r="D35" s="67"/>
      <c r="E35" s="154">
        <f>+'(1) Budget 2020'!E35</f>
        <v>1500000</v>
      </c>
      <c r="F35" s="154">
        <f>+'(1) Budget 2020'!F35</f>
        <v>1413356.1643835618</v>
      </c>
      <c r="G35" s="100">
        <f>+'(1) Budget 2020'!G35</f>
        <v>1337157.0651154066</v>
      </c>
      <c r="H35" s="155">
        <f>+'(1) Budget 2020'!H35</f>
        <v>1270143.6106905357</v>
      </c>
      <c r="I35" s="154">
        <f>'(2) Oper. &amp; Fin. Levers'!F97</f>
        <v>1211208.4904977041</v>
      </c>
      <c r="J35" s="100">
        <f>'(2) Oper. &amp; Fin. Levers'!G97</f>
        <v>1222163.2660724102</v>
      </c>
      <c r="K35" s="100">
        <f>'(2) Oper. &amp; Fin. Levers'!H97</f>
        <v>1260336.2787467863</v>
      </c>
      <c r="L35" s="100">
        <f>'(2) Oper. &amp; Fin. Levers'!I97</f>
        <v>1293907.6131809636</v>
      </c>
      <c r="M35" s="100">
        <f>'(2) Oper. &amp; Fin. Levers'!J97</f>
        <v>1323431.992231295</v>
      </c>
      <c r="N35" s="100">
        <f>'(2) Oper. &amp; Fin. Levers'!K97</f>
        <v>1533044.5283276138</v>
      </c>
      <c r="O35" s="100">
        <f>'(2) Oper. &amp; Fin. Levers'!L97</f>
        <v>1533741.4436342393</v>
      </c>
      <c r="P35" s="100">
        <f>'(2) Oper. &amp; Fin. Levers'!M97</f>
        <v>1534354.3472326689</v>
      </c>
      <c r="Q35" s="100">
        <f>'(2) Oper. &amp; Fin. Levers'!N97</f>
        <v>1650832.293502338</v>
      </c>
      <c r="R35" s="271"/>
      <c r="S35" s="67"/>
      <c r="T35" s="67"/>
    </row>
    <row r="36" spans="2:20" s="66" customFormat="1" ht="15" x14ac:dyDescent="0.25">
      <c r="B36" s="66" t="str">
        <f>+'(1) Budget 2020'!B36</f>
        <v>Inventory</v>
      </c>
      <c r="D36" s="67"/>
      <c r="E36" s="154">
        <f>+'(1) Budget 2020'!E36</f>
        <v>2500000</v>
      </c>
      <c r="F36" s="154">
        <f>+'(1) Budget 2020'!F36</f>
        <v>2500000</v>
      </c>
      <c r="G36" s="100">
        <f>+'(1) Budget 2020'!G36</f>
        <v>2500000</v>
      </c>
      <c r="H36" s="155">
        <f>+'(1) Budget 2020'!H36</f>
        <v>2500000</v>
      </c>
      <c r="I36" s="154">
        <f>+'(2) Oper. &amp; Fin. Levers'!F109</f>
        <v>2500000</v>
      </c>
      <c r="J36" s="100">
        <f>+'(2) Oper. &amp; Fin. Levers'!G109</f>
        <v>2500000</v>
      </c>
      <c r="K36" s="100">
        <f>+'(2) Oper. &amp; Fin. Levers'!H109</f>
        <v>2500000</v>
      </c>
      <c r="L36" s="100">
        <f>+'(2) Oper. &amp; Fin. Levers'!I109</f>
        <v>2500000</v>
      </c>
      <c r="M36" s="100">
        <f>+'(2) Oper. &amp; Fin. Levers'!J109</f>
        <v>2500000</v>
      </c>
      <c r="N36" s="100">
        <f>+'(2) Oper. &amp; Fin. Levers'!K109</f>
        <v>2500000</v>
      </c>
      <c r="O36" s="100">
        <f>+'(2) Oper. &amp; Fin. Levers'!L109</f>
        <v>2500000</v>
      </c>
      <c r="P36" s="100">
        <f>+'(2) Oper. &amp; Fin. Levers'!M109</f>
        <v>2500000</v>
      </c>
      <c r="Q36" s="100">
        <f>+'(2) Oper. &amp; Fin. Levers'!N109</f>
        <v>2500000</v>
      </c>
      <c r="R36" s="271"/>
      <c r="S36" s="67"/>
      <c r="T36" s="67"/>
    </row>
    <row r="37" spans="2:20" s="66" customFormat="1" ht="15" x14ac:dyDescent="0.25">
      <c r="B37" s="66" t="str">
        <f>+'(1) Budget 2020'!B37</f>
        <v>Property &amp; Equipment</v>
      </c>
      <c r="D37" s="70"/>
      <c r="E37" s="154">
        <f>+'(1) Budget 2020'!E37</f>
        <v>1000000</v>
      </c>
      <c r="F37" s="154">
        <f>+'(1) Budget 2020'!F37</f>
        <v>987500</v>
      </c>
      <c r="G37" s="100">
        <f>+'(1) Budget 2020'!G37</f>
        <v>975000</v>
      </c>
      <c r="H37" s="155">
        <f>+'(1) Budget 2020'!H37</f>
        <v>962500</v>
      </c>
      <c r="I37" s="154">
        <f t="shared" ref="I37:Q37" si="9">I91</f>
        <v>950000</v>
      </c>
      <c r="J37" s="100">
        <f t="shared" si="9"/>
        <v>936979.16666666663</v>
      </c>
      <c r="K37" s="100">
        <f>K91</f>
        <v>948958.33333333326</v>
      </c>
      <c r="L37" s="100">
        <f t="shared" si="9"/>
        <v>935937.49999999988</v>
      </c>
      <c r="M37" s="100">
        <f t="shared" si="9"/>
        <v>922916.66666666651</v>
      </c>
      <c r="N37" s="100">
        <f t="shared" si="9"/>
        <v>909895.83333333314</v>
      </c>
      <c r="O37" s="100">
        <f t="shared" si="9"/>
        <v>896874.99999999977</v>
      </c>
      <c r="P37" s="100">
        <f t="shared" si="9"/>
        <v>883854.1666666664</v>
      </c>
      <c r="Q37" s="100">
        <f t="shared" si="9"/>
        <v>870833.33333333302</v>
      </c>
      <c r="R37" s="271"/>
      <c r="S37" s="67"/>
      <c r="T37" s="67"/>
    </row>
    <row r="38" spans="2:20" s="66" customFormat="1" ht="15.6" thickBot="1" x14ac:dyDescent="0.3">
      <c r="B38" s="87" t="str">
        <f>+'(1) Budget 2020'!B38</f>
        <v>Total Assets</v>
      </c>
      <c r="C38" s="87"/>
      <c r="D38" s="88"/>
      <c r="E38" s="152">
        <f>+'(1) Budget 2020'!E38</f>
        <v>5475000</v>
      </c>
      <c r="F38" s="152">
        <f>+'(1) Budget 2020'!F38</f>
        <v>5395833.333333333</v>
      </c>
      <c r="G38" s="89">
        <f>+'(1) Budget 2020'!G38</f>
        <v>5316666.666666666</v>
      </c>
      <c r="H38" s="153">
        <f>+'(1) Budget 2020'!H38</f>
        <v>5237500</v>
      </c>
      <c r="I38" s="152">
        <f t="shared" ref="I38:M38" si="10">SUM(I34:I37)</f>
        <v>5058333.333333333</v>
      </c>
      <c r="J38" s="89">
        <f t="shared" si="10"/>
        <v>4883110.1190476194</v>
      </c>
      <c r="K38" s="89">
        <f t="shared" si="10"/>
        <v>4907886.9047619039</v>
      </c>
      <c r="L38" s="89">
        <f t="shared" si="10"/>
        <v>4932663.6904761903</v>
      </c>
      <c r="M38" s="89">
        <f t="shared" si="10"/>
        <v>4957440.4761904757</v>
      </c>
      <c r="N38" s="89">
        <f t="shared" ref="N38:Q38" si="11">SUM(N34:N37)</f>
        <v>5394717.2619047612</v>
      </c>
      <c r="O38" s="89">
        <f t="shared" si="11"/>
        <v>5419494.0476190476</v>
      </c>
      <c r="P38" s="89">
        <f t="shared" si="11"/>
        <v>5444270.833333333</v>
      </c>
      <c r="Q38" s="89">
        <f t="shared" si="11"/>
        <v>5729464.2857142845</v>
      </c>
      <c r="R38" s="271"/>
      <c r="S38" s="67"/>
      <c r="T38" s="67"/>
    </row>
    <row r="39" spans="2:20" s="66" customFormat="1" ht="15.6" thickTop="1" x14ac:dyDescent="0.25">
      <c r="B39" s="84"/>
      <c r="C39" s="84"/>
      <c r="D39" s="85"/>
      <c r="E39" s="239">
        <v>3000</v>
      </c>
      <c r="F39" s="239">
        <v>3346.7741935483873</v>
      </c>
      <c r="G39" s="80">
        <v>3693.5483870967746</v>
      </c>
      <c r="H39" s="249">
        <v>4040.3225806451619</v>
      </c>
      <c r="I39" s="239">
        <v>1387.0967741935492</v>
      </c>
      <c r="J39" s="80">
        <v>1733.8709677419363</v>
      </c>
      <c r="K39" s="80">
        <v>2048.3225806451619</v>
      </c>
      <c r="L39" s="80">
        <v>2362.7741935483878</v>
      </c>
      <c r="M39" s="80">
        <v>2677.2258064516136</v>
      </c>
      <c r="N39" s="80">
        <v>2991.6774193548395</v>
      </c>
      <c r="O39" s="80">
        <v>3306.1290322580653</v>
      </c>
      <c r="P39" s="80">
        <v>3620.5806451612912</v>
      </c>
      <c r="Q39" s="80">
        <v>3935.032258064517</v>
      </c>
      <c r="R39" s="271"/>
      <c r="S39" s="67"/>
      <c r="T39" s="67"/>
    </row>
    <row r="40" spans="2:20" s="66" customFormat="1" ht="15" x14ac:dyDescent="0.25">
      <c r="B40" s="73" t="str">
        <f>+'(1) Budget 2020'!B40</f>
        <v>Liabilities</v>
      </c>
      <c r="D40" s="67"/>
      <c r="E40" s="154">
        <f>+'(1) Budget 2020'!E40</f>
        <v>0</v>
      </c>
      <c r="F40" s="154">
        <f>+'(1) Budget 2020'!F40</f>
        <v>0</v>
      </c>
      <c r="G40" s="100">
        <f>+'(1) Budget 2020'!G40</f>
        <v>0</v>
      </c>
      <c r="H40" s="155">
        <f>+'(1) Budget 2020'!H40</f>
        <v>0</v>
      </c>
      <c r="I40" s="154"/>
      <c r="J40" s="100"/>
      <c r="K40" s="100"/>
      <c r="L40" s="100"/>
      <c r="M40" s="100"/>
      <c r="N40" s="100"/>
      <c r="O40" s="100"/>
      <c r="P40" s="100"/>
      <c r="Q40" s="100"/>
      <c r="R40" s="271"/>
      <c r="S40" s="67"/>
      <c r="T40" s="67"/>
    </row>
    <row r="41" spans="2:20" s="66" customFormat="1" ht="15" x14ac:dyDescent="0.25">
      <c r="B41" s="66" t="str">
        <f>+'(1) Budget 2020'!B41</f>
        <v>Accounts Payable</v>
      </c>
      <c r="D41" s="67"/>
      <c r="E41" s="154">
        <f>+'(1) Budget 2020'!E41</f>
        <v>800000</v>
      </c>
      <c r="F41" s="154">
        <f>+'(1) Budget 2020'!F41</f>
        <v>800000</v>
      </c>
      <c r="G41" s="100">
        <f>+'(1) Budget 2020'!G41</f>
        <v>800000</v>
      </c>
      <c r="H41" s="155">
        <f>+'(1) Budget 2020'!H41</f>
        <v>800000</v>
      </c>
      <c r="I41" s="154">
        <f>'(2) Oper. &amp; Fin. Levers'!F122</f>
        <v>800000</v>
      </c>
      <c r="J41" s="100">
        <f>'(2) Oper. &amp; Fin. Levers'!G122</f>
        <v>800000</v>
      </c>
      <c r="K41" s="100">
        <f>'(2) Oper. &amp; Fin. Levers'!H122</f>
        <v>800000</v>
      </c>
      <c r="L41" s="100">
        <f>'(2) Oper. &amp; Fin. Levers'!I122</f>
        <v>800000</v>
      </c>
      <c r="M41" s="100">
        <f>'(2) Oper. &amp; Fin. Levers'!J122</f>
        <v>800000</v>
      </c>
      <c r="N41" s="100">
        <f>'(2) Oper. &amp; Fin. Levers'!K122</f>
        <v>800000</v>
      </c>
      <c r="O41" s="100">
        <f>'(2) Oper. &amp; Fin. Levers'!L122</f>
        <v>800000</v>
      </c>
      <c r="P41" s="100">
        <f>'(2) Oper. &amp; Fin. Levers'!M122</f>
        <v>800000</v>
      </c>
      <c r="Q41" s="100">
        <f>'(2) Oper. &amp; Fin. Levers'!N122</f>
        <v>800000</v>
      </c>
      <c r="R41" s="271"/>
      <c r="S41" s="67"/>
      <c r="T41" s="67"/>
    </row>
    <row r="42" spans="2:20" s="66" customFormat="1" ht="15" x14ac:dyDescent="0.25">
      <c r="B42" s="66" t="str">
        <f>+'(1) Budget 2020'!B42</f>
        <v>Taxes payable</v>
      </c>
      <c r="D42" s="67"/>
      <c r="E42" s="154">
        <f>+'(1) Budget 2020'!E42</f>
        <v>175000</v>
      </c>
      <c r="F42" s="154">
        <f>+'(1) Budget 2020'!F42</f>
        <v>142013.88888888888</v>
      </c>
      <c r="G42" s="100">
        <f>+'(1) Budget 2020'!G42</f>
        <v>109027.77777777775</v>
      </c>
      <c r="H42" s="155">
        <f>+'(1) Budget 2020'!H42</f>
        <v>76041.666666666628</v>
      </c>
      <c r="I42" s="154">
        <f>+H42+I27-I58</f>
        <v>-56944.444444444489</v>
      </c>
      <c r="J42" s="100">
        <f t="shared" ref="J42:Q42" si="12">+I42+J27-J58</f>
        <v>-46620.783730158793</v>
      </c>
      <c r="K42" s="100">
        <f t="shared" si="12"/>
        <v>-36297.123015873098</v>
      </c>
      <c r="L42" s="100">
        <f t="shared" si="12"/>
        <v>-25973.462301587402</v>
      </c>
      <c r="M42" s="100">
        <f t="shared" si="12"/>
        <v>-15649.801587301705</v>
      </c>
      <c r="N42" s="100">
        <f t="shared" si="12"/>
        <v>166548.85912698405</v>
      </c>
      <c r="O42" s="100">
        <f t="shared" si="12"/>
        <v>176872.51984126976</v>
      </c>
      <c r="P42" s="100">
        <f t="shared" si="12"/>
        <v>187196.18055555547</v>
      </c>
      <c r="Q42" s="100">
        <f t="shared" si="12"/>
        <v>306026.78571428568</v>
      </c>
      <c r="R42" s="271"/>
      <c r="S42" s="67"/>
      <c r="T42" s="67"/>
    </row>
    <row r="43" spans="2:20" s="66" customFormat="1" ht="15" x14ac:dyDescent="0.25">
      <c r="B43" s="66" t="str">
        <f>+'(1) Budget 2020'!B43</f>
        <v>Debt</v>
      </c>
      <c r="D43" s="70"/>
      <c r="E43" s="154">
        <f>+'(1) Budget 2020'!E43</f>
        <v>2800000</v>
      </c>
      <c r="F43" s="154">
        <f>+'(1) Budget 2020'!F43</f>
        <v>2800000</v>
      </c>
      <c r="G43" s="100">
        <f>+'(1) Budget 2020'!G43</f>
        <v>2800000</v>
      </c>
      <c r="H43" s="155">
        <f>+'(1) Budget 2020'!H43</f>
        <v>2800000</v>
      </c>
      <c r="I43" s="154">
        <f t="shared" ref="I43:Q43" si="13">I96</f>
        <v>2800000</v>
      </c>
      <c r="J43" s="100">
        <f t="shared" si="13"/>
        <v>2600000</v>
      </c>
      <c r="K43" s="100">
        <f t="shared" si="13"/>
        <v>2600000</v>
      </c>
      <c r="L43" s="100">
        <f t="shared" si="13"/>
        <v>2600000</v>
      </c>
      <c r="M43" s="100">
        <f t="shared" si="13"/>
        <v>2600000</v>
      </c>
      <c r="N43" s="100">
        <f t="shared" si="13"/>
        <v>2600000</v>
      </c>
      <c r="O43" s="100">
        <f t="shared" si="13"/>
        <v>2600000</v>
      </c>
      <c r="P43" s="100">
        <f t="shared" si="13"/>
        <v>2600000</v>
      </c>
      <c r="Q43" s="100">
        <f t="shared" si="13"/>
        <v>2600000</v>
      </c>
      <c r="R43" s="271"/>
      <c r="S43" s="67"/>
      <c r="T43" s="67"/>
    </row>
    <row r="44" spans="2:20" s="66" customFormat="1" ht="15" x14ac:dyDescent="0.25">
      <c r="B44" s="81" t="str">
        <f>+'(1) Budget 2020'!B44</f>
        <v>Total Liabilities</v>
      </c>
      <c r="C44" s="81"/>
      <c r="D44" s="82"/>
      <c r="E44" s="148">
        <f>+'(1) Budget 2020'!E44</f>
        <v>3775000</v>
      </c>
      <c r="F44" s="148">
        <f>+'(1) Budget 2020'!F44</f>
        <v>3742013.888888889</v>
      </c>
      <c r="G44" s="83">
        <f>+'(1) Budget 2020'!G44</f>
        <v>3709027.777777778</v>
      </c>
      <c r="H44" s="149">
        <f>+'(1) Budget 2020'!H44</f>
        <v>3676041.6666666665</v>
      </c>
      <c r="I44" s="148">
        <f t="shared" ref="I44:M44" si="14">SUM(I41:I43)</f>
        <v>3543055.5555555555</v>
      </c>
      <c r="J44" s="83">
        <f t="shared" si="14"/>
        <v>3353379.2162698414</v>
      </c>
      <c r="K44" s="83">
        <f t="shared" si="14"/>
        <v>3363702.8769841269</v>
      </c>
      <c r="L44" s="83">
        <f t="shared" si="14"/>
        <v>3374026.5376984123</v>
      </c>
      <c r="M44" s="83">
        <f t="shared" si="14"/>
        <v>3384350.1984126982</v>
      </c>
      <c r="N44" s="83">
        <f t="shared" ref="N44:Q44" si="15">SUM(N41:N43)</f>
        <v>3566548.8591269841</v>
      </c>
      <c r="O44" s="83">
        <f t="shared" si="15"/>
        <v>3576872.5198412696</v>
      </c>
      <c r="P44" s="83">
        <f t="shared" si="15"/>
        <v>3587196.1805555555</v>
      </c>
      <c r="Q44" s="83">
        <f t="shared" si="15"/>
        <v>3706026.7857142854</v>
      </c>
      <c r="R44" s="271"/>
      <c r="S44" s="67"/>
      <c r="T44" s="67"/>
    </row>
    <row r="45" spans="2:20" s="66" customFormat="1" ht="15" x14ac:dyDescent="0.25">
      <c r="B45" s="66" t="str">
        <f>+'(1) Budget 2020'!B45</f>
        <v>Equity Capital</v>
      </c>
      <c r="D45" s="70"/>
      <c r="E45" s="154">
        <f>+'(1) Budget 2020'!E45</f>
        <v>200000</v>
      </c>
      <c r="F45" s="154">
        <f>+'(1) Budget 2020'!F45</f>
        <v>200000</v>
      </c>
      <c r="G45" s="100">
        <f>+'(1) Budget 2020'!G45</f>
        <v>200000</v>
      </c>
      <c r="H45" s="155">
        <f>+'(1) Budget 2020'!H45</f>
        <v>200000</v>
      </c>
      <c r="I45" s="154">
        <f>H45</f>
        <v>200000</v>
      </c>
      <c r="J45" s="100">
        <f t="shared" ref="J45:Q45" si="16">I45</f>
        <v>200000</v>
      </c>
      <c r="K45" s="100">
        <f t="shared" si="16"/>
        <v>200000</v>
      </c>
      <c r="L45" s="100">
        <f t="shared" si="16"/>
        <v>200000</v>
      </c>
      <c r="M45" s="100">
        <f t="shared" si="16"/>
        <v>200000</v>
      </c>
      <c r="N45" s="100">
        <f t="shared" si="16"/>
        <v>200000</v>
      </c>
      <c r="O45" s="100">
        <f t="shared" si="16"/>
        <v>200000</v>
      </c>
      <c r="P45" s="100">
        <f t="shared" si="16"/>
        <v>200000</v>
      </c>
      <c r="Q45" s="100">
        <f t="shared" si="16"/>
        <v>200000</v>
      </c>
      <c r="R45" s="271"/>
      <c r="S45" s="67"/>
      <c r="T45" s="67"/>
    </row>
    <row r="46" spans="2:20" s="66" customFormat="1" ht="15" x14ac:dyDescent="0.25">
      <c r="B46" s="66" t="str">
        <f>+'(1) Budget 2020'!B46</f>
        <v>Retained Earnings</v>
      </c>
      <c r="D46" s="70"/>
      <c r="E46" s="154">
        <f>+'(1) Budget 2020'!E46</f>
        <v>1500000</v>
      </c>
      <c r="F46" s="154">
        <f>+'(1) Budget 2020'!F46</f>
        <v>1453819.4444444445</v>
      </c>
      <c r="G46" s="100">
        <f>+'(1) Budget 2020'!G46</f>
        <v>1407638.888888889</v>
      </c>
      <c r="H46" s="155">
        <f>+'(1) Budget 2020'!H46</f>
        <v>1361458.3333333335</v>
      </c>
      <c r="I46" s="154">
        <f t="shared" ref="I46:Q46" si="17">H46+I29</f>
        <v>1315277.777777778</v>
      </c>
      <c r="J46" s="100">
        <f t="shared" si="17"/>
        <v>1329730.902777778</v>
      </c>
      <c r="K46" s="100">
        <f t="shared" si="17"/>
        <v>1344184.027777778</v>
      </c>
      <c r="L46" s="100">
        <f t="shared" si="17"/>
        <v>1358637.152777778</v>
      </c>
      <c r="M46" s="100">
        <f t="shared" si="17"/>
        <v>1373090.277777778</v>
      </c>
      <c r="N46" s="100">
        <f t="shared" si="17"/>
        <v>1628168.402777778</v>
      </c>
      <c r="O46" s="100">
        <f t="shared" si="17"/>
        <v>1642621.527777778</v>
      </c>
      <c r="P46" s="100">
        <f t="shared" si="17"/>
        <v>1657074.652777778</v>
      </c>
      <c r="Q46" s="100">
        <f t="shared" si="17"/>
        <v>1823437.5000000002</v>
      </c>
      <c r="R46" s="271"/>
      <c r="S46" s="67"/>
      <c r="T46" s="67"/>
    </row>
    <row r="47" spans="2:20" s="66" customFormat="1" ht="15" x14ac:dyDescent="0.25">
      <c r="B47" s="90" t="str">
        <f>+'(1) Budget 2020'!B47</f>
        <v>Shareholder's Equity</v>
      </c>
      <c r="C47" s="90"/>
      <c r="D47" s="91"/>
      <c r="E47" s="156">
        <f>+'(1) Budget 2020'!E47</f>
        <v>1700000</v>
      </c>
      <c r="F47" s="156">
        <f>+'(1) Budget 2020'!F47</f>
        <v>1653819.4444444445</v>
      </c>
      <c r="G47" s="92">
        <f>+'(1) Budget 2020'!G47</f>
        <v>1607638.888888889</v>
      </c>
      <c r="H47" s="157">
        <f>+'(1) Budget 2020'!H47</f>
        <v>1561458.3333333335</v>
      </c>
      <c r="I47" s="156">
        <f t="shared" ref="I47:M47" si="18">SUM(I45:I46)</f>
        <v>1515277.777777778</v>
      </c>
      <c r="J47" s="92">
        <f t="shared" si="18"/>
        <v>1529730.902777778</v>
      </c>
      <c r="K47" s="92">
        <f t="shared" si="18"/>
        <v>1544184.027777778</v>
      </c>
      <c r="L47" s="92">
        <f t="shared" si="18"/>
        <v>1558637.152777778</v>
      </c>
      <c r="M47" s="92">
        <f t="shared" si="18"/>
        <v>1573090.277777778</v>
      </c>
      <c r="N47" s="92">
        <f t="shared" ref="N47:Q47" si="19">SUM(N45:N46)</f>
        <v>1828168.402777778</v>
      </c>
      <c r="O47" s="92">
        <f t="shared" si="19"/>
        <v>1842621.527777778</v>
      </c>
      <c r="P47" s="92">
        <f t="shared" si="19"/>
        <v>1857074.652777778</v>
      </c>
      <c r="Q47" s="92">
        <f t="shared" si="19"/>
        <v>2023437.5000000002</v>
      </c>
      <c r="R47" s="271"/>
      <c r="S47" s="67"/>
      <c r="T47" s="67"/>
    </row>
    <row r="48" spans="2:20" s="66" customFormat="1" ht="15.6" thickBot="1" x14ac:dyDescent="0.3">
      <c r="B48" s="87" t="str">
        <f>+'(1) Budget 2020'!B48</f>
        <v>Total Liabilities &amp; Shareholder's Equity</v>
      </c>
      <c r="C48" s="87"/>
      <c r="D48" s="88"/>
      <c r="E48" s="152">
        <f>+'(1) Budget 2020'!E48</f>
        <v>5475000</v>
      </c>
      <c r="F48" s="152">
        <f>+'(1) Budget 2020'!F48</f>
        <v>5395833.333333334</v>
      </c>
      <c r="G48" s="89">
        <f>+'(1) Budget 2020'!G48</f>
        <v>5316666.666666667</v>
      </c>
      <c r="H48" s="153">
        <f>+'(1) Budget 2020'!H48</f>
        <v>5237500</v>
      </c>
      <c r="I48" s="152">
        <f t="shared" ref="I48:Q48" si="20">I44+I47</f>
        <v>5058333.333333334</v>
      </c>
      <c r="J48" s="89">
        <f t="shared" si="20"/>
        <v>4883110.1190476194</v>
      </c>
      <c r="K48" s="89">
        <f t="shared" si="20"/>
        <v>4907886.9047619049</v>
      </c>
      <c r="L48" s="89">
        <f t="shared" si="20"/>
        <v>4932663.6904761903</v>
      </c>
      <c r="M48" s="89">
        <f t="shared" si="20"/>
        <v>4957440.4761904757</v>
      </c>
      <c r="N48" s="89">
        <f t="shared" si="20"/>
        <v>5394717.2619047621</v>
      </c>
      <c r="O48" s="89">
        <f t="shared" si="20"/>
        <v>5419494.0476190476</v>
      </c>
      <c r="P48" s="89">
        <f t="shared" si="20"/>
        <v>5444270.833333334</v>
      </c>
      <c r="Q48" s="89">
        <f t="shared" si="20"/>
        <v>5729464.2857142854</v>
      </c>
      <c r="R48" s="271"/>
      <c r="S48" s="67"/>
      <c r="T48" s="67"/>
    </row>
    <row r="49" spans="2:20" s="66" customFormat="1" ht="15.6" thickTop="1" x14ac:dyDescent="0.25">
      <c r="D49" s="70"/>
      <c r="E49" s="154"/>
      <c r="F49" s="154"/>
      <c r="G49" s="100"/>
      <c r="H49" s="155"/>
      <c r="I49" s="154"/>
      <c r="J49" s="100"/>
      <c r="K49" s="100"/>
      <c r="L49" s="100"/>
      <c r="M49" s="100"/>
      <c r="N49" s="100"/>
      <c r="O49" s="100"/>
      <c r="P49" s="100"/>
      <c r="Q49" s="155"/>
      <c r="R49" s="271"/>
      <c r="S49" s="67"/>
      <c r="T49" s="67"/>
    </row>
    <row r="50" spans="2:20" s="66" customFormat="1" ht="15" x14ac:dyDescent="0.25">
      <c r="B50" s="93" t="str">
        <f>+'(1) Budget 2020'!B50</f>
        <v>Check</v>
      </c>
      <c r="C50" s="94"/>
      <c r="D50" s="95"/>
      <c r="E50" s="154">
        <f>+'(1) Budget 2020'!E50</f>
        <v>0</v>
      </c>
      <c r="F50" s="154">
        <f>+'(1) Budget 2020'!F50</f>
        <v>0</v>
      </c>
      <c r="G50" s="100">
        <f>+'(1) Budget 2020'!G50</f>
        <v>0</v>
      </c>
      <c r="H50" s="155">
        <f>+'(1) Budget 2020'!H50</f>
        <v>0</v>
      </c>
      <c r="I50" s="154">
        <f>I48-I38</f>
        <v>0</v>
      </c>
      <c r="J50" s="100">
        <f t="shared" ref="J50:Q50" si="21">J48-J38</f>
        <v>0</v>
      </c>
      <c r="K50" s="100">
        <f t="shared" si="21"/>
        <v>0</v>
      </c>
      <c r="L50" s="100">
        <f t="shared" si="21"/>
        <v>0</v>
      </c>
      <c r="M50" s="100">
        <f t="shared" si="21"/>
        <v>0</v>
      </c>
      <c r="N50" s="100">
        <f t="shared" si="21"/>
        <v>0</v>
      </c>
      <c r="O50" s="100">
        <f t="shared" si="21"/>
        <v>0</v>
      </c>
      <c r="P50" s="100">
        <f t="shared" si="21"/>
        <v>0</v>
      </c>
      <c r="Q50" s="100">
        <f t="shared" si="21"/>
        <v>0</v>
      </c>
      <c r="R50" s="267"/>
    </row>
    <row r="51" spans="2:20" s="66" customFormat="1" ht="15" x14ac:dyDescent="0.25">
      <c r="B51" s="94"/>
      <c r="C51" s="94"/>
      <c r="D51" s="95"/>
      <c r="E51" s="275"/>
      <c r="F51" s="275"/>
      <c r="G51" s="189"/>
      <c r="H51" s="276"/>
      <c r="I51" s="275"/>
      <c r="J51" s="189"/>
      <c r="K51" s="189"/>
      <c r="L51" s="189"/>
      <c r="M51" s="189"/>
      <c r="N51" s="100"/>
      <c r="O51" s="100"/>
      <c r="P51" s="100"/>
      <c r="Q51" s="155"/>
      <c r="R51" s="267"/>
    </row>
    <row r="52" spans="2:20" s="66" customFormat="1" ht="15" x14ac:dyDescent="0.25">
      <c r="D52" s="70"/>
      <c r="E52" s="154"/>
      <c r="F52" s="154"/>
      <c r="G52" s="100"/>
      <c r="H52" s="155"/>
      <c r="I52" s="154"/>
      <c r="J52" s="100"/>
      <c r="K52" s="100"/>
      <c r="L52" s="100"/>
      <c r="M52" s="100"/>
      <c r="N52" s="100"/>
      <c r="O52" s="100"/>
      <c r="P52" s="100"/>
      <c r="Q52" s="155"/>
      <c r="R52" s="267"/>
    </row>
    <row r="53" spans="2:20" s="66" customFormat="1" ht="21" thickBot="1" x14ac:dyDescent="0.4">
      <c r="B53" s="103" t="str">
        <f>+'(1) Budget 2020'!B53</f>
        <v>Cash Flow Statement</v>
      </c>
      <c r="C53" s="103"/>
      <c r="D53" s="103"/>
      <c r="E53" s="242"/>
      <c r="F53" s="242"/>
      <c r="G53" s="188"/>
      <c r="H53" s="243"/>
      <c r="I53" s="242"/>
      <c r="J53" s="188"/>
      <c r="K53" s="188"/>
      <c r="L53" s="188"/>
      <c r="M53" s="188"/>
      <c r="N53" s="188"/>
      <c r="O53" s="188"/>
      <c r="P53" s="188"/>
      <c r="Q53" s="243"/>
      <c r="R53" s="272"/>
    </row>
    <row r="54" spans="2:20" s="66" customFormat="1" ht="15" x14ac:dyDescent="0.25">
      <c r="B54" s="73" t="str">
        <f>+'(1) Budget 2020'!B54</f>
        <v>Operating Cash Flow</v>
      </c>
      <c r="D54" s="70"/>
      <c r="E54" s="154"/>
      <c r="F54" s="154"/>
      <c r="G54" s="100"/>
      <c r="H54" s="155"/>
      <c r="I54" s="154"/>
      <c r="J54" s="100"/>
      <c r="K54" s="100"/>
      <c r="L54" s="100"/>
      <c r="M54" s="100"/>
      <c r="N54" s="100"/>
      <c r="O54" s="100"/>
      <c r="P54" s="100"/>
      <c r="Q54" s="155"/>
      <c r="R54" s="267"/>
    </row>
    <row r="55" spans="2:20" s="66" customFormat="1" ht="15" x14ac:dyDescent="0.25">
      <c r="B55" s="66" t="str">
        <f>+'(1) Budget 2020'!B55</f>
        <v>Net Earnings</v>
      </c>
      <c r="D55" s="70"/>
      <c r="E55" s="154">
        <f>+'(1) Budget 2020'!E55</f>
        <v>175000</v>
      </c>
      <c r="F55" s="154">
        <f>+'(1) Budget 2020'!F55</f>
        <v>-46180.555555555547</v>
      </c>
      <c r="G55" s="100">
        <f>+'(1) Budget 2020'!G55</f>
        <v>-46180.555555555547</v>
      </c>
      <c r="H55" s="155">
        <f>+'(1) Budget 2020'!H55</f>
        <v>-46180.555555555547</v>
      </c>
      <c r="I55" s="154">
        <f t="shared" ref="I55:Q55" si="22">I29</f>
        <v>-46180.555555555555</v>
      </c>
      <c r="J55" s="100">
        <f t="shared" si="22"/>
        <v>14453.124999999976</v>
      </c>
      <c r="K55" s="100">
        <f t="shared" si="22"/>
        <v>14453.124999999976</v>
      </c>
      <c r="L55" s="100">
        <f t="shared" si="22"/>
        <v>14453.124999999976</v>
      </c>
      <c r="M55" s="100">
        <f t="shared" si="22"/>
        <v>14453.124999999976</v>
      </c>
      <c r="N55" s="100">
        <f t="shared" si="22"/>
        <v>255078.12500000009</v>
      </c>
      <c r="O55" s="100">
        <f t="shared" si="22"/>
        <v>14453.124999999976</v>
      </c>
      <c r="P55" s="100">
        <f t="shared" si="22"/>
        <v>14453.124999999976</v>
      </c>
      <c r="Q55" s="155">
        <f t="shared" si="22"/>
        <v>166362.84722222228</v>
      </c>
      <c r="R55" s="262">
        <f>SUM(F55:Q55)</f>
        <v>323437.5</v>
      </c>
    </row>
    <row r="56" spans="2:20" s="66" customFormat="1" ht="15" x14ac:dyDescent="0.25">
      <c r="B56" s="66" t="str">
        <f>+'(1) Budget 2020'!B56</f>
        <v>Plus: Depreciation &amp; Amortization</v>
      </c>
      <c r="D56" s="70"/>
      <c r="E56" s="154">
        <f>+'(1) Budget 2020'!E56</f>
        <v>150000</v>
      </c>
      <c r="F56" s="154">
        <f>+'(1) Budget 2020'!F56</f>
        <v>12500</v>
      </c>
      <c r="G56" s="100">
        <f>+'(1) Budget 2020'!G56</f>
        <v>12500</v>
      </c>
      <c r="H56" s="155">
        <f>+'(1) Budget 2020'!H56</f>
        <v>12500</v>
      </c>
      <c r="I56" s="154">
        <f t="shared" ref="I56:Q56" si="23">+I23</f>
        <v>12500</v>
      </c>
      <c r="J56" s="100">
        <f t="shared" si="23"/>
        <v>13020.833333333334</v>
      </c>
      <c r="K56" s="100">
        <f t="shared" si="23"/>
        <v>13020.833333333334</v>
      </c>
      <c r="L56" s="100">
        <f t="shared" si="23"/>
        <v>13020.833333333334</v>
      </c>
      <c r="M56" s="100">
        <f t="shared" si="23"/>
        <v>13020.833333333334</v>
      </c>
      <c r="N56" s="100">
        <f t="shared" si="23"/>
        <v>13020.833333333334</v>
      </c>
      <c r="O56" s="100">
        <f t="shared" si="23"/>
        <v>13020.833333333334</v>
      </c>
      <c r="P56" s="100">
        <f t="shared" si="23"/>
        <v>13020.833333333334</v>
      </c>
      <c r="Q56" s="155">
        <f t="shared" si="23"/>
        <v>13020.833333333334</v>
      </c>
      <c r="R56" s="262">
        <f t="shared" ref="R56:R59" si="24">SUM(F56:Q56)</f>
        <v>154166.66666666666</v>
      </c>
    </row>
    <row r="57" spans="2:20" s="66" customFormat="1" ht="15" x14ac:dyDescent="0.25">
      <c r="B57" s="66" t="s">
        <v>188</v>
      </c>
      <c r="D57" s="70"/>
      <c r="E57" s="154">
        <v>0</v>
      </c>
      <c r="F57" s="154">
        <f t="shared" ref="F57:H57" si="25">+F42-E42+F58</f>
        <v>-32986.111111111124</v>
      </c>
      <c r="G57" s="100">
        <f t="shared" si="25"/>
        <v>-32986.111111111124</v>
      </c>
      <c r="H57" s="155">
        <f t="shared" si="25"/>
        <v>-32986.111111111124</v>
      </c>
      <c r="I57" s="154">
        <f>+I42-H42+I58</f>
        <v>-32986.111111111124</v>
      </c>
      <c r="J57" s="100">
        <f t="shared" ref="J57:Q57" si="26">+J42-I42+J58</f>
        <v>10323.660714285696</v>
      </c>
      <c r="K57" s="100">
        <f t="shared" si="26"/>
        <v>10323.660714285696</v>
      </c>
      <c r="L57" s="100">
        <f t="shared" si="26"/>
        <v>10323.660714285696</v>
      </c>
      <c r="M57" s="100">
        <f t="shared" si="26"/>
        <v>10323.660714285697</v>
      </c>
      <c r="N57" s="100">
        <f t="shared" si="26"/>
        <v>182198.66071428577</v>
      </c>
      <c r="O57" s="100">
        <f t="shared" si="26"/>
        <v>10323.66071428571</v>
      </c>
      <c r="P57" s="100">
        <f t="shared" si="26"/>
        <v>10323.66071428571</v>
      </c>
      <c r="Q57" s="155">
        <f t="shared" si="26"/>
        <v>118830.60515873021</v>
      </c>
      <c r="R57" s="262">
        <f t="shared" si="24"/>
        <v>231026.78571428568</v>
      </c>
    </row>
    <row r="58" spans="2:20" s="66" customFormat="1" ht="15" x14ac:dyDescent="0.25">
      <c r="B58" s="66" t="str">
        <f>+'(1) Budget 2020'!B58</f>
        <v>Less: Tax paid</v>
      </c>
      <c r="D58" s="70"/>
      <c r="E58" s="154">
        <f>+'(1) Budget 2020'!E58</f>
        <v>0</v>
      </c>
      <c r="F58" s="154">
        <f>+'(1) Budget 2020'!F58</f>
        <v>0</v>
      </c>
      <c r="G58" s="100">
        <f>+'(1) Budget 2020'!G58</f>
        <v>0</v>
      </c>
      <c r="H58" s="155">
        <f>+'(1) Budget 2020'!H58</f>
        <v>0</v>
      </c>
      <c r="I58" s="154">
        <f>+'(2) Oper. &amp; Fin. Levers'!F84</f>
        <v>100000</v>
      </c>
      <c r="J58" s="100">
        <f>+'(2) Oper. &amp; Fin. Levers'!G84</f>
        <v>0</v>
      </c>
      <c r="K58" s="100">
        <f>+'(2) Oper. &amp; Fin. Levers'!H84</f>
        <v>0</v>
      </c>
      <c r="L58" s="100">
        <f>+'(2) Oper. &amp; Fin. Levers'!I84</f>
        <v>0</v>
      </c>
      <c r="M58" s="100">
        <f>+'(2) Oper. &amp; Fin. Levers'!J84</f>
        <v>0</v>
      </c>
      <c r="N58" s="100">
        <f>+'(2) Oper. &amp; Fin. Levers'!K84</f>
        <v>0</v>
      </c>
      <c r="O58" s="100">
        <f>+'(2) Oper. &amp; Fin. Levers'!L84</f>
        <v>0</v>
      </c>
      <c r="P58" s="100">
        <f>+'(2) Oper. &amp; Fin. Levers'!M84</f>
        <v>0</v>
      </c>
      <c r="Q58" s="155">
        <f>+'(2) Oper. &amp; Fin. Levers'!N84</f>
        <v>0</v>
      </c>
      <c r="R58" s="262">
        <f t="shared" si="24"/>
        <v>100000</v>
      </c>
    </row>
    <row r="59" spans="2:20" s="66" customFormat="1" ht="15" x14ac:dyDescent="0.25">
      <c r="B59" s="66" t="str">
        <f>+'(1) Budget 2020'!B59</f>
        <v>Changes in Working Capital</v>
      </c>
      <c r="D59" s="70"/>
      <c r="E59" s="154">
        <f>+'(1) Budget 2020'!E59</f>
        <v>9002.6500000000015</v>
      </c>
      <c r="F59" s="154">
        <f>+'(1) Budget 2020'!F59</f>
        <v>86643.835616438184</v>
      </c>
      <c r="G59" s="100">
        <f>+'(1) Budget 2020'!G59</f>
        <v>76199.099268155172</v>
      </c>
      <c r="H59" s="155">
        <f>+'(1) Budget 2020'!H59</f>
        <v>67013.454424870666</v>
      </c>
      <c r="I59" s="154">
        <f>+I85</f>
        <v>58935.120192831848</v>
      </c>
      <c r="J59" s="100">
        <f t="shared" ref="J59:Q59" si="27">J85</f>
        <v>-10954.775574706029</v>
      </c>
      <c r="K59" s="100">
        <f t="shared" si="27"/>
        <v>-38173.012674376369</v>
      </c>
      <c r="L59" s="100">
        <f t="shared" si="27"/>
        <v>-33571.334434176795</v>
      </c>
      <c r="M59" s="100">
        <f t="shared" si="27"/>
        <v>-29524.379050331656</v>
      </c>
      <c r="N59" s="100">
        <f t="shared" si="27"/>
        <v>-209612.53609631909</v>
      </c>
      <c r="O59" s="100">
        <f t="shared" si="27"/>
        <v>-696.91530662495643</v>
      </c>
      <c r="P59" s="100">
        <f t="shared" si="27"/>
        <v>-612.90359842963517</v>
      </c>
      <c r="Q59" s="155">
        <f t="shared" si="27"/>
        <v>-116477.94626966957</v>
      </c>
      <c r="R59" s="262">
        <f t="shared" si="24"/>
        <v>-150832.29350233823</v>
      </c>
    </row>
    <row r="60" spans="2:20" s="66" customFormat="1" ht="15" x14ac:dyDescent="0.25">
      <c r="B60" s="81" t="str">
        <f>+'(1) Budget 2020'!B60</f>
        <v>Cash from Operations</v>
      </c>
      <c r="C60" s="98"/>
      <c r="D60" s="99"/>
      <c r="E60" s="148">
        <f>+'(1) Budget 2020'!E60</f>
        <v>334002.65000000002</v>
      </c>
      <c r="F60" s="148">
        <f>+'(1) Budget 2020'!F60</f>
        <v>19977.168949771512</v>
      </c>
      <c r="G60" s="83">
        <f>+'(1) Budget 2020'!G60</f>
        <v>9532.4326014885009</v>
      </c>
      <c r="H60" s="149">
        <f>+'(1) Budget 2020'!H60</f>
        <v>346.7877582039946</v>
      </c>
      <c r="I60" s="148">
        <f>I55+I56+I59-I58+I57</f>
        <v>-107731.54647383484</v>
      </c>
      <c r="J60" s="83">
        <f t="shared" ref="J60:R60" si="28">J55+J56+J59-J58+J57</f>
        <v>26842.843472912977</v>
      </c>
      <c r="K60" s="83">
        <f t="shared" si="28"/>
        <v>-375.39362675736265</v>
      </c>
      <c r="L60" s="83">
        <f t="shared" si="28"/>
        <v>4226.2846134422107</v>
      </c>
      <c r="M60" s="83">
        <f t="shared" si="28"/>
        <v>8273.2399972873518</v>
      </c>
      <c r="N60" s="83">
        <f t="shared" si="28"/>
        <v>240685.08295130011</v>
      </c>
      <c r="O60" s="83">
        <f t="shared" si="28"/>
        <v>37100.703740994068</v>
      </c>
      <c r="P60" s="83">
        <f t="shared" si="28"/>
        <v>37184.715449189389</v>
      </c>
      <c r="Q60" s="149">
        <f t="shared" si="28"/>
        <v>181736.33944461626</v>
      </c>
      <c r="R60" s="149">
        <f t="shared" si="28"/>
        <v>457798.65887861408</v>
      </c>
    </row>
    <row r="61" spans="2:20" s="66" customFormat="1" ht="15" x14ac:dyDescent="0.25">
      <c r="B61" s="84"/>
      <c r="C61" s="72"/>
      <c r="D61" s="75"/>
      <c r="E61" s="239">
        <f>+'(1) Budget 2020'!E61</f>
        <v>0</v>
      </c>
      <c r="F61" s="239">
        <f>+'(1) Budget 2020'!F61</f>
        <v>0</v>
      </c>
      <c r="G61" s="80">
        <f>+'(1) Budget 2020'!G61</f>
        <v>0</v>
      </c>
      <c r="H61" s="249">
        <f>+'(1) Budget 2020'!H61</f>
        <v>0</v>
      </c>
      <c r="I61" s="239"/>
      <c r="J61" s="80"/>
      <c r="K61" s="80"/>
      <c r="L61" s="80"/>
      <c r="M61" s="80"/>
      <c r="N61" s="80"/>
      <c r="O61" s="80"/>
      <c r="P61" s="80"/>
      <c r="Q61" s="249"/>
      <c r="R61" s="262"/>
    </row>
    <row r="62" spans="2:20" s="66" customFormat="1" ht="15" x14ac:dyDescent="0.25">
      <c r="B62" s="73" t="str">
        <f>+'(1) Budget 2020'!B62</f>
        <v>Investing Cash Flow</v>
      </c>
      <c r="D62" s="70"/>
      <c r="E62" s="154">
        <f>+'(1) Budget 2020'!E62</f>
        <v>0</v>
      </c>
      <c r="F62" s="154">
        <f>+'(1) Budget 2020'!F62</f>
        <v>0</v>
      </c>
      <c r="G62" s="100">
        <f>+'(1) Budget 2020'!G62</f>
        <v>0</v>
      </c>
      <c r="H62" s="155">
        <f>+'(1) Budget 2020'!H62</f>
        <v>0</v>
      </c>
      <c r="I62" s="154"/>
      <c r="J62" s="100"/>
      <c r="K62" s="100"/>
      <c r="L62" s="100"/>
      <c r="M62" s="100"/>
      <c r="N62" s="100"/>
      <c r="O62" s="100"/>
      <c r="P62" s="100"/>
      <c r="Q62" s="155"/>
      <c r="R62" s="262"/>
    </row>
    <row r="63" spans="2:20" s="66" customFormat="1" ht="15" x14ac:dyDescent="0.25">
      <c r="B63" s="66" t="str">
        <f>+'(1) Budget 2020'!B63</f>
        <v>Investments in Property &amp; Equipment</v>
      </c>
      <c r="D63" s="70"/>
      <c r="E63" s="154">
        <f>+'(1) Budget 2020'!E63</f>
        <v>50000</v>
      </c>
      <c r="F63" s="154">
        <f>+'(1) Budget 2020'!F63</f>
        <v>0</v>
      </c>
      <c r="G63" s="100">
        <f>+'(1) Budget 2020'!G63</f>
        <v>0</v>
      </c>
      <c r="H63" s="155">
        <f>+'(1) Budget 2020'!H63</f>
        <v>0</v>
      </c>
      <c r="I63" s="154">
        <f>IF('(2) Oper. &amp; Fin. Levers'!$C$59="No",'(2) Oper. &amp; Fin. Levers'!F65,'(2) Oper. &amp; Fin. Levers'!F66)</f>
        <v>0</v>
      </c>
      <c r="J63" s="100">
        <f>IF('(2) Oper. &amp; Fin. Levers'!$C$59="No",'(2) Oper. &amp; Fin. Levers'!G65,'(2) Oper. &amp; Fin. Levers'!G66)</f>
        <v>0</v>
      </c>
      <c r="K63" s="100">
        <f>IF('(2) Oper. &amp; Fin. Levers'!$C$59="No",'(2) Oper. &amp; Fin. Levers'!H65,'(2) Oper. &amp; Fin. Levers'!H66)</f>
        <v>25000</v>
      </c>
      <c r="L63" s="100">
        <f>IF('(2) Oper. &amp; Fin. Levers'!$C$59="No",'(2) Oper. &amp; Fin. Levers'!I65,'(2) Oper. &amp; Fin. Levers'!I66)</f>
        <v>0</v>
      </c>
      <c r="M63" s="100">
        <f>IF('(2) Oper. &amp; Fin. Levers'!$C$59="No",'(2) Oper. &amp; Fin. Levers'!J65,'(2) Oper. &amp; Fin. Levers'!J66)</f>
        <v>0</v>
      </c>
      <c r="N63" s="100">
        <f>IF('(2) Oper. &amp; Fin. Levers'!$C$59="No",'(2) Oper. &amp; Fin. Levers'!K65,'(2) Oper. &amp; Fin. Levers'!K66)</f>
        <v>0</v>
      </c>
      <c r="O63" s="100">
        <f>IF('(2) Oper. &amp; Fin. Levers'!$C$59="No",'(2) Oper. &amp; Fin. Levers'!L65,'(2) Oper. &amp; Fin. Levers'!L66)</f>
        <v>0</v>
      </c>
      <c r="P63" s="100">
        <f>IF('(2) Oper. &amp; Fin. Levers'!$C$59="No",'(2) Oper. &amp; Fin. Levers'!M65,'(2) Oper. &amp; Fin. Levers'!M66)</f>
        <v>0</v>
      </c>
      <c r="Q63" s="155">
        <f>IF('(2) Oper. &amp; Fin. Levers'!$C$59="No",'(2) Oper. &amp; Fin. Levers'!N65,'(2) Oper. &amp; Fin. Levers'!N66)</f>
        <v>0</v>
      </c>
      <c r="R63" s="262">
        <f t="shared" ref="R63:R64" si="29">SUM(F63:Q63)</f>
        <v>25000</v>
      </c>
    </row>
    <row r="64" spans="2:20" s="66" customFormat="1" ht="15" x14ac:dyDescent="0.25">
      <c r="B64" s="66" t="s">
        <v>163</v>
      </c>
      <c r="D64" s="70"/>
      <c r="E64" s="154">
        <f>'(2) Oper. &amp; Fin. Levers'!C67</f>
        <v>0</v>
      </c>
      <c r="F64" s="154">
        <f>'(2) Oper. &amp; Fin. Levers'!D67</f>
        <v>0</v>
      </c>
      <c r="G64" s="100">
        <f>'(2) Oper. &amp; Fin. Levers'!E67</f>
        <v>0</v>
      </c>
      <c r="H64" s="155">
        <f>'(2) Oper. &amp; Fin. Levers'!F67</f>
        <v>0</v>
      </c>
      <c r="I64" s="154">
        <f>'(2) Oper. &amp; Fin. Levers'!F67</f>
        <v>0</v>
      </c>
      <c r="J64" s="100">
        <f>'(2) Oper. &amp; Fin. Levers'!G67</f>
        <v>0</v>
      </c>
      <c r="K64" s="100">
        <f>'(2) Oper. &amp; Fin. Levers'!H67</f>
        <v>0</v>
      </c>
      <c r="L64" s="100">
        <f>'(2) Oper. &amp; Fin. Levers'!I67</f>
        <v>0</v>
      </c>
      <c r="M64" s="100">
        <f>'(2) Oper. &amp; Fin. Levers'!J67</f>
        <v>0</v>
      </c>
      <c r="N64" s="100">
        <f>'(2) Oper. &amp; Fin. Levers'!K67</f>
        <v>0</v>
      </c>
      <c r="O64" s="100">
        <f>'(2) Oper. &amp; Fin. Levers'!L67</f>
        <v>0</v>
      </c>
      <c r="P64" s="100">
        <f>'(2) Oper. &amp; Fin. Levers'!M67</f>
        <v>0</v>
      </c>
      <c r="Q64" s="155">
        <f>'(2) Oper. &amp; Fin. Levers'!N67</f>
        <v>0</v>
      </c>
      <c r="R64" s="262">
        <f t="shared" si="29"/>
        <v>0</v>
      </c>
    </row>
    <row r="65" spans="2:18" s="66" customFormat="1" ht="15" x14ac:dyDescent="0.25">
      <c r="B65" s="81" t="str">
        <f>+'(1) Budget 2020'!B65</f>
        <v>Cash from Investing</v>
      </c>
      <c r="C65" s="98"/>
      <c r="D65" s="99"/>
      <c r="E65" s="148">
        <f t="shared" ref="E65:J65" si="30">E64-E63</f>
        <v>-50000</v>
      </c>
      <c r="F65" s="148">
        <f t="shared" si="30"/>
        <v>0</v>
      </c>
      <c r="G65" s="83">
        <f t="shared" si="30"/>
        <v>0</v>
      </c>
      <c r="H65" s="149">
        <f t="shared" si="30"/>
        <v>0</v>
      </c>
      <c r="I65" s="148">
        <f t="shared" si="30"/>
        <v>0</v>
      </c>
      <c r="J65" s="83">
        <f t="shared" si="30"/>
        <v>0</v>
      </c>
      <c r="K65" s="83">
        <f>K64-K63</f>
        <v>-25000</v>
      </c>
      <c r="L65" s="83">
        <f t="shared" ref="L65:R65" si="31">L64-L63</f>
        <v>0</v>
      </c>
      <c r="M65" s="83">
        <f t="shared" si="31"/>
        <v>0</v>
      </c>
      <c r="N65" s="83">
        <f t="shared" si="31"/>
        <v>0</v>
      </c>
      <c r="O65" s="83">
        <f t="shared" si="31"/>
        <v>0</v>
      </c>
      <c r="P65" s="83">
        <f t="shared" si="31"/>
        <v>0</v>
      </c>
      <c r="Q65" s="149">
        <f t="shared" si="31"/>
        <v>0</v>
      </c>
      <c r="R65" s="149">
        <f t="shared" si="31"/>
        <v>-25000</v>
      </c>
    </row>
    <row r="66" spans="2:18" s="66" customFormat="1" ht="15" x14ac:dyDescent="0.25">
      <c r="B66" s="84"/>
      <c r="C66" s="72"/>
      <c r="D66" s="75"/>
      <c r="E66" s="239">
        <f>+'(1) Budget 2020'!E66</f>
        <v>0</v>
      </c>
      <c r="F66" s="239">
        <f>+'(1) Budget 2020'!F66</f>
        <v>0</v>
      </c>
      <c r="G66" s="80">
        <f>+'(1) Budget 2020'!G66</f>
        <v>0</v>
      </c>
      <c r="H66" s="249">
        <f>+'(1) Budget 2020'!H66</f>
        <v>0</v>
      </c>
      <c r="I66" s="239"/>
      <c r="J66" s="80"/>
      <c r="K66" s="80"/>
      <c r="L66" s="80"/>
      <c r="M66" s="80"/>
      <c r="N66" s="80"/>
      <c r="O66" s="80"/>
      <c r="P66" s="80"/>
      <c r="Q66" s="249"/>
      <c r="R66" s="262"/>
    </row>
    <row r="67" spans="2:18" s="66" customFormat="1" ht="15" x14ac:dyDescent="0.25">
      <c r="B67" s="73" t="str">
        <f>+'(1) Budget 2020'!B67</f>
        <v>Financing Cash Flow</v>
      </c>
      <c r="D67" s="70"/>
      <c r="E67" s="154">
        <f>+'(1) Budget 2020'!E67</f>
        <v>0</v>
      </c>
      <c r="F67" s="154">
        <f>+'(1) Budget 2020'!F67</f>
        <v>0</v>
      </c>
      <c r="G67" s="100">
        <f>+'(1) Budget 2020'!G67</f>
        <v>0</v>
      </c>
      <c r="H67" s="155">
        <f>+'(1) Budget 2020'!H67</f>
        <v>0</v>
      </c>
      <c r="I67" s="154"/>
      <c r="J67" s="100"/>
      <c r="K67" s="100"/>
      <c r="L67" s="100"/>
      <c r="M67" s="100"/>
      <c r="N67" s="100"/>
      <c r="O67" s="100"/>
      <c r="P67" s="100"/>
      <c r="Q67" s="155"/>
      <c r="R67" s="262"/>
    </row>
    <row r="68" spans="2:18" s="66" customFormat="1" ht="15" x14ac:dyDescent="0.25">
      <c r="B68" s="66" t="str">
        <f>+'(1) Budget 2020'!B68</f>
        <v>Issuance (repayment) of debt</v>
      </c>
      <c r="D68" s="70"/>
      <c r="E68" s="154">
        <f>+'(1) Budget 2020'!E68</f>
        <v>250000</v>
      </c>
      <c r="F68" s="154">
        <f>+'(1) Budget 2020'!F68</f>
        <v>0</v>
      </c>
      <c r="G68" s="100">
        <f>+'(1) Budget 2020'!G68</f>
        <v>0</v>
      </c>
      <c r="H68" s="155">
        <f>+'(1) Budget 2020'!H68</f>
        <v>0</v>
      </c>
      <c r="I68" s="154">
        <f>IF('(2) Oper. &amp; Fin. Levers'!$C$127="No",'(2) Oper. &amp; Fin. Levers'!F133,'(2) Oper. &amp; Fin. Levers'!F136)</f>
        <v>0</v>
      </c>
      <c r="J68" s="100">
        <f>IF('(2) Oper. &amp; Fin. Levers'!$C$127="No",'(2) Oper. &amp; Fin. Levers'!G133,'(2) Oper. &amp; Fin. Levers'!G136)</f>
        <v>-200000</v>
      </c>
      <c r="K68" s="100">
        <f>IF('(2) Oper. &amp; Fin. Levers'!$C$127="No",'(2) Oper. &amp; Fin. Levers'!H133,'(2) Oper. &amp; Fin. Levers'!H136)</f>
        <v>0</v>
      </c>
      <c r="L68" s="100">
        <f>IF('(2) Oper. &amp; Fin. Levers'!$C$127="No",'(2) Oper. &amp; Fin. Levers'!I133,'(2) Oper. &amp; Fin. Levers'!I136)</f>
        <v>0</v>
      </c>
      <c r="M68" s="100">
        <f>IF('(2) Oper. &amp; Fin. Levers'!$C$127="No",'(2) Oper. &amp; Fin. Levers'!J133,'(2) Oper. &amp; Fin. Levers'!J136)</f>
        <v>0</v>
      </c>
      <c r="N68" s="100">
        <f>IF('(2) Oper. &amp; Fin. Levers'!$C$127="No",'(2) Oper. &amp; Fin. Levers'!K133,'(2) Oper. &amp; Fin. Levers'!K136)</f>
        <v>0</v>
      </c>
      <c r="O68" s="100">
        <f>IF('(2) Oper. &amp; Fin. Levers'!$C$127="No",'(2) Oper. &amp; Fin. Levers'!L133,'(2) Oper. &amp; Fin. Levers'!L136)</f>
        <v>0</v>
      </c>
      <c r="P68" s="100">
        <f>IF('(2) Oper. &amp; Fin. Levers'!$C$127="No",'(2) Oper. &amp; Fin. Levers'!M133,'(2) Oper. &amp; Fin. Levers'!M136)</f>
        <v>0</v>
      </c>
      <c r="Q68" s="155">
        <f>IF('(2) Oper. &amp; Fin. Levers'!$C$127="No",'(2) Oper. &amp; Fin. Levers'!N133,'(2) Oper. &amp; Fin. Levers'!N136)</f>
        <v>0</v>
      </c>
      <c r="R68" s="262">
        <f t="shared" ref="R68:R69" si="32">SUM(F68:Q68)</f>
        <v>-200000</v>
      </c>
    </row>
    <row r="69" spans="2:18" s="66" customFormat="1" ht="15" x14ac:dyDescent="0.25">
      <c r="B69" s="66" t="str">
        <f>+'(1) Budget 2020'!B69</f>
        <v>Issuance (repayment) of equity</v>
      </c>
      <c r="D69" s="70"/>
      <c r="E69" s="154">
        <f>+'(1) Budget 2020'!E69</f>
        <v>0</v>
      </c>
      <c r="F69" s="154">
        <f>+'(1) Budget 2020'!F69</f>
        <v>0</v>
      </c>
      <c r="G69" s="100">
        <f>+'(1) Budget 2020'!G69</f>
        <v>0</v>
      </c>
      <c r="H69" s="155">
        <f>+'(1) Budget 2020'!H69</f>
        <v>0</v>
      </c>
      <c r="I69" s="154">
        <f>+'(1) Budget 2020'!I69</f>
        <v>0</v>
      </c>
      <c r="J69" s="100">
        <f>+'(1) Budget 2020'!J69</f>
        <v>0</v>
      </c>
      <c r="K69" s="100">
        <f>+'(1) Budget 2020'!K69</f>
        <v>0</v>
      </c>
      <c r="L69" s="100">
        <f>+'(1) Budget 2020'!L69</f>
        <v>0</v>
      </c>
      <c r="M69" s="100">
        <f>+'(1) Budget 2020'!M69</f>
        <v>0</v>
      </c>
      <c r="N69" s="100">
        <f>+'(1) Budget 2020'!N69</f>
        <v>0</v>
      </c>
      <c r="O69" s="100">
        <f>+'(1) Budget 2020'!O69</f>
        <v>0</v>
      </c>
      <c r="P69" s="100">
        <f>+'(1) Budget 2020'!P69</f>
        <v>0</v>
      </c>
      <c r="Q69" s="155">
        <f>+'(1) Budget 2020'!Q69</f>
        <v>0</v>
      </c>
      <c r="R69" s="262">
        <f t="shared" si="32"/>
        <v>0</v>
      </c>
    </row>
    <row r="70" spans="2:18" s="66" customFormat="1" ht="15" x14ac:dyDescent="0.25">
      <c r="B70" s="81" t="str">
        <f>+'(1) Budget 2020'!B70</f>
        <v>Cash from Financing</v>
      </c>
      <c r="C70" s="98"/>
      <c r="D70" s="99"/>
      <c r="E70" s="148">
        <f>+'(1) Budget 2020'!E70</f>
        <v>250000</v>
      </c>
      <c r="F70" s="148">
        <f>+'(1) Budget 2020'!F70</f>
        <v>0</v>
      </c>
      <c r="G70" s="83">
        <f>+'(1) Budget 2020'!G70</f>
        <v>0</v>
      </c>
      <c r="H70" s="149">
        <f>+'(1) Budget 2020'!H70</f>
        <v>0</v>
      </c>
      <c r="I70" s="148">
        <f t="shared" ref="I70:M70" si="33">SUM(I68:I69)</f>
        <v>0</v>
      </c>
      <c r="J70" s="83">
        <f t="shared" si="33"/>
        <v>-200000</v>
      </c>
      <c r="K70" s="83">
        <f t="shared" si="33"/>
        <v>0</v>
      </c>
      <c r="L70" s="83">
        <f t="shared" si="33"/>
        <v>0</v>
      </c>
      <c r="M70" s="83">
        <f t="shared" si="33"/>
        <v>0</v>
      </c>
      <c r="N70" s="83">
        <f t="shared" ref="N70:R70" si="34">SUM(N68:N69)</f>
        <v>0</v>
      </c>
      <c r="O70" s="83">
        <f t="shared" si="34"/>
        <v>0</v>
      </c>
      <c r="P70" s="83">
        <f t="shared" si="34"/>
        <v>0</v>
      </c>
      <c r="Q70" s="149">
        <f t="shared" si="34"/>
        <v>0</v>
      </c>
      <c r="R70" s="149">
        <f t="shared" si="34"/>
        <v>-200000</v>
      </c>
    </row>
    <row r="71" spans="2:18" s="66" customFormat="1" ht="15" x14ac:dyDescent="0.25">
      <c r="B71" s="84"/>
      <c r="C71" s="72"/>
      <c r="D71" s="75"/>
      <c r="E71" s="239">
        <f>+'(1) Budget 2020'!E71</f>
        <v>0</v>
      </c>
      <c r="F71" s="239">
        <f>+'(1) Budget 2020'!F71</f>
        <v>0</v>
      </c>
      <c r="G71" s="80">
        <f>+'(1) Budget 2020'!G71</f>
        <v>0</v>
      </c>
      <c r="H71" s="249">
        <f>+'(1) Budget 2020'!H71</f>
        <v>0</v>
      </c>
      <c r="I71" s="239"/>
      <c r="J71" s="80"/>
      <c r="K71" s="80"/>
      <c r="L71" s="80"/>
      <c r="M71" s="80"/>
      <c r="N71" s="80"/>
      <c r="O71" s="80"/>
      <c r="P71" s="80"/>
      <c r="Q71" s="249"/>
      <c r="R71" s="262"/>
    </row>
    <row r="72" spans="2:18" s="66" customFormat="1" ht="15" x14ac:dyDescent="0.25">
      <c r="B72" s="66" t="str">
        <f>+'(1) Budget 2020'!B72</f>
        <v>Net Increase (decrease) in Cash</v>
      </c>
      <c r="D72" s="70"/>
      <c r="E72" s="154">
        <f>+'(1) Budget 2020'!E72</f>
        <v>0</v>
      </c>
      <c r="F72" s="154">
        <f t="shared" ref="F72:J72" si="35">F60+F65+F70</f>
        <v>19977.168949771512</v>
      </c>
      <c r="G72" s="100">
        <f t="shared" si="35"/>
        <v>9532.4326014885009</v>
      </c>
      <c r="H72" s="155">
        <f t="shared" si="35"/>
        <v>346.7877582039946</v>
      </c>
      <c r="I72" s="154">
        <f t="shared" si="35"/>
        <v>-107731.54647383484</v>
      </c>
      <c r="J72" s="100">
        <f t="shared" si="35"/>
        <v>-173157.15652708703</v>
      </c>
      <c r="K72" s="100">
        <f>K60+K65+K70</f>
        <v>-25375.393626757363</v>
      </c>
      <c r="L72" s="100">
        <f t="shared" ref="L72:R72" si="36">L60+L65+L70</f>
        <v>4226.2846134422107</v>
      </c>
      <c r="M72" s="100">
        <f t="shared" si="36"/>
        <v>8273.2399972873518</v>
      </c>
      <c r="N72" s="100">
        <f t="shared" si="36"/>
        <v>240685.08295130011</v>
      </c>
      <c r="O72" s="100">
        <f t="shared" si="36"/>
        <v>37100.703740994068</v>
      </c>
      <c r="P72" s="100">
        <f t="shared" si="36"/>
        <v>37184.715449189389</v>
      </c>
      <c r="Q72" s="155">
        <f t="shared" si="36"/>
        <v>181736.33944461626</v>
      </c>
      <c r="R72" s="262">
        <f t="shared" si="36"/>
        <v>232798.65887861408</v>
      </c>
    </row>
    <row r="73" spans="2:18" s="66" customFormat="1" ht="15" x14ac:dyDescent="0.25">
      <c r="B73" s="66" t="str">
        <f>+'(1) Budget 2020'!B73</f>
        <v>Opening Cash Balance</v>
      </c>
      <c r="D73" s="70"/>
      <c r="E73" s="154">
        <f>+'(1) Budget 2020'!E73</f>
        <v>0</v>
      </c>
      <c r="F73" s="154">
        <f>+'(1) Budget 2020'!F73</f>
        <v>475000</v>
      </c>
      <c r="G73" s="100">
        <f>+'(1) Budget 2020'!G73</f>
        <v>494977.1689497715</v>
      </c>
      <c r="H73" s="155">
        <f>+'(1) Budget 2020'!H73</f>
        <v>504509.60155125998</v>
      </c>
      <c r="I73" s="154">
        <f>+H74</f>
        <v>504856.38930946396</v>
      </c>
      <c r="J73" s="100">
        <f t="shared" ref="J73:M73" si="37">+I74</f>
        <v>397124.84283562913</v>
      </c>
      <c r="K73" s="100">
        <f t="shared" si="37"/>
        <v>223967.68630854209</v>
      </c>
      <c r="L73" s="100">
        <f t="shared" si="37"/>
        <v>198592.29268178472</v>
      </c>
      <c r="M73" s="100">
        <f t="shared" si="37"/>
        <v>202818.57729522692</v>
      </c>
      <c r="N73" s="100">
        <f t="shared" ref="N73" si="38">+M74</f>
        <v>211091.81729251426</v>
      </c>
      <c r="O73" s="100">
        <f t="shared" ref="O73" si="39">+N74</f>
        <v>451776.90024381434</v>
      </c>
      <c r="P73" s="100">
        <f t="shared" ref="P73" si="40">+O74</f>
        <v>488877.60398480843</v>
      </c>
      <c r="Q73" s="155">
        <f t="shared" ref="Q73" si="41">+P74</f>
        <v>526062.31943399785</v>
      </c>
      <c r="R73" s="262">
        <f t="shared" ref="R73" si="42">SUM(F73:Q73)</f>
        <v>4679655.1998868138</v>
      </c>
    </row>
    <row r="74" spans="2:18" s="66" customFormat="1" ht="15" x14ac:dyDescent="0.25">
      <c r="B74" s="81" t="str">
        <f>+'(1) Budget 2020'!B74</f>
        <v>Closing Cash Balance</v>
      </c>
      <c r="C74" s="98"/>
      <c r="D74" s="99"/>
      <c r="E74" s="148">
        <f>+'(1) Budget 2020'!E74</f>
        <v>475000</v>
      </c>
      <c r="F74" s="148">
        <f>+'(1) Budget 2020'!F74</f>
        <v>494977.1689497715</v>
      </c>
      <c r="G74" s="83">
        <f>+'(1) Budget 2020'!G74</f>
        <v>504509.60155125998</v>
      </c>
      <c r="H74" s="149">
        <f>+'(1) Budget 2020'!H74</f>
        <v>504856.38930946396</v>
      </c>
      <c r="I74" s="148">
        <f t="shared" ref="I74:M74" si="43">SUM(I72:I73)</f>
        <v>397124.84283562913</v>
      </c>
      <c r="J74" s="83">
        <f t="shared" si="43"/>
        <v>223967.68630854209</v>
      </c>
      <c r="K74" s="83">
        <f t="shared" si="43"/>
        <v>198592.29268178472</v>
      </c>
      <c r="L74" s="83">
        <f t="shared" si="43"/>
        <v>202818.57729522692</v>
      </c>
      <c r="M74" s="83">
        <f t="shared" si="43"/>
        <v>211091.81729251426</v>
      </c>
      <c r="N74" s="83">
        <f t="shared" ref="N74:R74" si="44">SUM(N72:N73)</f>
        <v>451776.90024381434</v>
      </c>
      <c r="O74" s="83">
        <f t="shared" si="44"/>
        <v>488877.60398480843</v>
      </c>
      <c r="P74" s="83">
        <f t="shared" si="44"/>
        <v>526062.31943399785</v>
      </c>
      <c r="Q74" s="149">
        <f t="shared" si="44"/>
        <v>707798.65887861408</v>
      </c>
      <c r="R74" s="149">
        <f t="shared" si="44"/>
        <v>4912453.858765428</v>
      </c>
    </row>
    <row r="75" spans="2:18" s="66" customFormat="1" ht="15" x14ac:dyDescent="0.25">
      <c r="B75" s="73"/>
      <c r="D75" s="70"/>
      <c r="E75" s="239">
        <f>+'(1) Budget 2020'!E75</f>
        <v>0</v>
      </c>
      <c r="F75" s="154">
        <f>+'(1) Budget 2020'!F75</f>
        <v>0</v>
      </c>
      <c r="G75" s="100">
        <f>+'(1) Budget 2020'!G75</f>
        <v>0</v>
      </c>
      <c r="H75" s="155">
        <f>+'(1) Budget 2020'!H75</f>
        <v>0</v>
      </c>
      <c r="I75" s="154"/>
      <c r="J75" s="100"/>
      <c r="K75" s="100"/>
      <c r="L75" s="100"/>
      <c r="M75" s="100"/>
      <c r="N75" s="100"/>
      <c r="O75" s="100"/>
      <c r="P75" s="100"/>
      <c r="Q75" s="155"/>
      <c r="R75" s="267"/>
    </row>
    <row r="76" spans="2:18" s="66" customFormat="1" ht="15" x14ac:dyDescent="0.25">
      <c r="B76" s="93" t="str">
        <f>+'(1) Budget 2020'!B76</f>
        <v>Check</v>
      </c>
      <c r="C76" s="94"/>
      <c r="D76" s="95"/>
      <c r="E76" s="273">
        <f>+'(1) Budget 2020'!E76</f>
        <v>0</v>
      </c>
      <c r="F76" s="273">
        <f>+'(1) Budget 2020'!F76</f>
        <v>0</v>
      </c>
      <c r="G76" s="190">
        <f>+'(1) Budget 2020'!G76</f>
        <v>0</v>
      </c>
      <c r="H76" s="274">
        <f>+'(1) Budget 2020'!H76</f>
        <v>0</v>
      </c>
      <c r="I76" s="273">
        <f t="shared" ref="I76:Q76" si="45">I74-I34</f>
        <v>0</v>
      </c>
      <c r="J76" s="190">
        <f t="shared" si="45"/>
        <v>0</v>
      </c>
      <c r="K76" s="190">
        <f t="shared" si="45"/>
        <v>0</v>
      </c>
      <c r="L76" s="190">
        <f t="shared" si="45"/>
        <v>0</v>
      </c>
      <c r="M76" s="190">
        <f t="shared" si="45"/>
        <v>0</v>
      </c>
      <c r="N76" s="190">
        <f t="shared" si="45"/>
        <v>0</v>
      </c>
      <c r="O76" s="190">
        <f t="shared" si="45"/>
        <v>0</v>
      </c>
      <c r="P76" s="190">
        <f t="shared" si="45"/>
        <v>0</v>
      </c>
      <c r="Q76" s="274">
        <f t="shared" si="45"/>
        <v>0</v>
      </c>
      <c r="R76" s="267"/>
    </row>
    <row r="77" spans="2:18" s="66" customFormat="1" ht="15" x14ac:dyDescent="0.25">
      <c r="B77" s="73"/>
      <c r="D77" s="70"/>
      <c r="E77" s="239"/>
      <c r="F77" s="154"/>
      <c r="G77" s="100"/>
      <c r="H77" s="155"/>
      <c r="I77" s="154"/>
      <c r="J77" s="100"/>
      <c r="K77" s="100"/>
      <c r="L77" s="100"/>
      <c r="M77" s="100"/>
      <c r="N77" s="100"/>
      <c r="O77" s="100"/>
      <c r="P77" s="100"/>
      <c r="Q77" s="155"/>
      <c r="R77" s="267"/>
    </row>
    <row r="78" spans="2:18" s="66" customFormat="1" ht="15" x14ac:dyDescent="0.25">
      <c r="D78" s="70"/>
      <c r="E78" s="154"/>
      <c r="F78" s="154"/>
      <c r="G78" s="100"/>
      <c r="H78" s="155"/>
      <c r="I78" s="154"/>
      <c r="J78" s="100"/>
      <c r="K78" s="100"/>
      <c r="L78" s="100"/>
      <c r="M78" s="100"/>
      <c r="N78" s="100"/>
      <c r="O78" s="100"/>
      <c r="P78" s="100"/>
      <c r="Q78" s="155"/>
      <c r="R78" s="267"/>
    </row>
    <row r="79" spans="2:18" s="66" customFormat="1" ht="21" thickBot="1" x14ac:dyDescent="0.4">
      <c r="B79" s="103" t="str">
        <f>+'(1) Budget 2020'!B79</f>
        <v>Supporting Schedules</v>
      </c>
      <c r="C79" s="103"/>
      <c r="D79" s="103"/>
      <c r="E79" s="242"/>
      <c r="F79" s="242"/>
      <c r="G79" s="188"/>
      <c r="H79" s="243"/>
      <c r="I79" s="242"/>
      <c r="J79" s="188"/>
      <c r="K79" s="188"/>
      <c r="L79" s="188"/>
      <c r="M79" s="188"/>
      <c r="N79" s="188"/>
      <c r="O79" s="188"/>
      <c r="P79" s="188"/>
      <c r="Q79" s="243"/>
      <c r="R79" s="272"/>
    </row>
    <row r="80" spans="2:18" s="66" customFormat="1" ht="15" x14ac:dyDescent="0.25">
      <c r="B80" s="73" t="str">
        <f>+'(1) Budget 2020'!B80</f>
        <v>Working Capital Schedule</v>
      </c>
      <c r="D80" s="70"/>
      <c r="E80" s="154">
        <f>+'(1) Budget 2020'!E80</f>
        <v>0</v>
      </c>
      <c r="F80" s="277">
        <f>+'(1) Budget 2020'!F80</f>
        <v>0</v>
      </c>
      <c r="G80" s="278">
        <f>+'(1) Budget 2020'!G80</f>
        <v>0</v>
      </c>
      <c r="H80" s="279">
        <f>+'(1) Budget 2020'!H80</f>
        <v>0</v>
      </c>
      <c r="I80" s="154"/>
      <c r="J80" s="100"/>
      <c r="K80" s="100"/>
      <c r="L80" s="100"/>
      <c r="M80" s="100"/>
      <c r="N80" s="100"/>
      <c r="O80" s="100"/>
      <c r="P80" s="100"/>
      <c r="Q80" s="155"/>
      <c r="R80" s="267"/>
    </row>
    <row r="81" spans="1:18" s="66" customFormat="1" ht="15" x14ac:dyDescent="0.25">
      <c r="B81" s="66" t="str">
        <f>+'(1) Budget 2020'!B81</f>
        <v>Accounts Receivable</v>
      </c>
      <c r="D81" s="70"/>
      <c r="E81" s="154">
        <f>+'(1) Budget 2020'!E81</f>
        <v>1500000</v>
      </c>
      <c r="F81" s="154">
        <f>+'(1) Budget 2020'!F81</f>
        <v>1413356.1643835618</v>
      </c>
      <c r="G81" s="100">
        <f>+'(1) Budget 2020'!G81</f>
        <v>1337157.0651154066</v>
      </c>
      <c r="H81" s="155">
        <f>+'(1) Budget 2020'!H81</f>
        <v>1270143.6106905357</v>
      </c>
      <c r="I81" s="154">
        <f>I35</f>
        <v>1211208.4904977041</v>
      </c>
      <c r="J81" s="100">
        <f t="shared" ref="J81:Q81" si="46">J35</f>
        <v>1222163.2660724102</v>
      </c>
      <c r="K81" s="100">
        <f t="shared" si="46"/>
        <v>1260336.2787467863</v>
      </c>
      <c r="L81" s="100">
        <f t="shared" si="46"/>
        <v>1293907.6131809636</v>
      </c>
      <c r="M81" s="100">
        <f t="shared" si="46"/>
        <v>1323431.992231295</v>
      </c>
      <c r="N81" s="100">
        <f t="shared" si="46"/>
        <v>1533044.5283276138</v>
      </c>
      <c r="O81" s="100">
        <f t="shared" si="46"/>
        <v>1533741.4436342393</v>
      </c>
      <c r="P81" s="100">
        <f t="shared" si="46"/>
        <v>1534354.3472326689</v>
      </c>
      <c r="Q81" s="155">
        <f t="shared" si="46"/>
        <v>1650832.293502338</v>
      </c>
      <c r="R81" s="267"/>
    </row>
    <row r="82" spans="1:18" s="66" customFormat="1" ht="15" x14ac:dyDescent="0.25">
      <c r="B82" s="66" t="str">
        <f>+'(1) Budget 2020'!B82</f>
        <v>Inventory</v>
      </c>
      <c r="D82" s="70"/>
      <c r="E82" s="154">
        <f>+'(1) Budget 2020'!E82</f>
        <v>2500000</v>
      </c>
      <c r="F82" s="154">
        <f>+'(1) Budget 2020'!F82</f>
        <v>2500000</v>
      </c>
      <c r="G82" s="100">
        <f>+'(1) Budget 2020'!G82</f>
        <v>2500000</v>
      </c>
      <c r="H82" s="155">
        <f>+'(1) Budget 2020'!H82</f>
        <v>2500000</v>
      </c>
      <c r="I82" s="154">
        <f>I36</f>
        <v>2500000</v>
      </c>
      <c r="J82" s="100">
        <f t="shared" ref="J82:Q82" si="47">J36</f>
        <v>2500000</v>
      </c>
      <c r="K82" s="100">
        <f t="shared" si="47"/>
        <v>2500000</v>
      </c>
      <c r="L82" s="100">
        <f t="shared" si="47"/>
        <v>2500000</v>
      </c>
      <c r="M82" s="100">
        <f t="shared" si="47"/>
        <v>2500000</v>
      </c>
      <c r="N82" s="100">
        <f t="shared" si="47"/>
        <v>2500000</v>
      </c>
      <c r="O82" s="100">
        <f t="shared" si="47"/>
        <v>2500000</v>
      </c>
      <c r="P82" s="100">
        <f t="shared" si="47"/>
        <v>2500000</v>
      </c>
      <c r="Q82" s="155">
        <f t="shared" si="47"/>
        <v>2500000</v>
      </c>
      <c r="R82" s="267"/>
    </row>
    <row r="83" spans="1:18" s="66" customFormat="1" ht="15" x14ac:dyDescent="0.25">
      <c r="B83" s="66" t="str">
        <f>+'(1) Budget 2020'!B83</f>
        <v>Accounts Payable</v>
      </c>
      <c r="D83" s="70"/>
      <c r="E83" s="154">
        <f>+'(1) Budget 2020'!E83</f>
        <v>800000</v>
      </c>
      <c r="F83" s="154">
        <f>+'(1) Budget 2020'!F83</f>
        <v>800000</v>
      </c>
      <c r="G83" s="100">
        <f>+'(1) Budget 2020'!G83</f>
        <v>800000</v>
      </c>
      <c r="H83" s="155">
        <f>+'(1) Budget 2020'!H83</f>
        <v>800000</v>
      </c>
      <c r="I83" s="154">
        <f>I41</f>
        <v>800000</v>
      </c>
      <c r="J83" s="100">
        <f t="shared" ref="J83:Q83" si="48">J41</f>
        <v>800000</v>
      </c>
      <c r="K83" s="100">
        <f t="shared" si="48"/>
        <v>800000</v>
      </c>
      <c r="L83" s="100">
        <f t="shared" si="48"/>
        <v>800000</v>
      </c>
      <c r="M83" s="100">
        <f t="shared" si="48"/>
        <v>800000</v>
      </c>
      <c r="N83" s="100">
        <f t="shared" si="48"/>
        <v>800000</v>
      </c>
      <c r="O83" s="100">
        <f t="shared" si="48"/>
        <v>800000</v>
      </c>
      <c r="P83" s="100">
        <f t="shared" si="48"/>
        <v>800000</v>
      </c>
      <c r="Q83" s="155">
        <f t="shared" si="48"/>
        <v>800000</v>
      </c>
      <c r="R83" s="267"/>
    </row>
    <row r="84" spans="1:18" s="66" customFormat="1" ht="15" x14ac:dyDescent="0.25">
      <c r="B84" s="98" t="str">
        <f>+'(1) Budget 2020'!B84</f>
        <v>Net Working Capital (NWC)</v>
      </c>
      <c r="C84" s="98"/>
      <c r="D84" s="99"/>
      <c r="E84" s="164">
        <f>+'(1) Budget 2020'!E84</f>
        <v>3200000</v>
      </c>
      <c r="F84" s="164">
        <f>+'(1) Budget 2020'!F84</f>
        <v>3113356.1643835618</v>
      </c>
      <c r="G84" s="101">
        <f>+'(1) Budget 2020'!G84</f>
        <v>3037157.0651154066</v>
      </c>
      <c r="H84" s="165">
        <f>+'(1) Budget 2020'!H84</f>
        <v>2970143.610690536</v>
      </c>
      <c r="I84" s="164">
        <f>+I81+I82-I83</f>
        <v>2911208.4904977041</v>
      </c>
      <c r="J84" s="101">
        <f t="shared" ref="J84:Q84" si="49">+J81+J82-J83</f>
        <v>2922163.2660724102</v>
      </c>
      <c r="K84" s="101">
        <f t="shared" si="49"/>
        <v>2960336.2787467865</v>
      </c>
      <c r="L84" s="101">
        <f t="shared" si="49"/>
        <v>2993907.6131809633</v>
      </c>
      <c r="M84" s="101">
        <f t="shared" si="49"/>
        <v>3023431.992231295</v>
      </c>
      <c r="N84" s="101">
        <f t="shared" si="49"/>
        <v>3233044.5283276141</v>
      </c>
      <c r="O84" s="101">
        <f t="shared" si="49"/>
        <v>3233741.443634239</v>
      </c>
      <c r="P84" s="101">
        <f t="shared" si="49"/>
        <v>3234354.3472326687</v>
      </c>
      <c r="Q84" s="165">
        <f t="shared" si="49"/>
        <v>3350832.2935023382</v>
      </c>
      <c r="R84" s="267"/>
    </row>
    <row r="85" spans="1:18" s="66" customFormat="1" ht="15" x14ac:dyDescent="0.25">
      <c r="B85" s="66" t="str">
        <f>+'(1) Budget 2020'!B85</f>
        <v>Change in NWC</v>
      </c>
      <c r="D85" s="70"/>
      <c r="E85" s="154">
        <f>+'(1) Budget 2020'!E85</f>
        <v>0</v>
      </c>
      <c r="F85" s="154">
        <f>+'(1) Budget 2020'!F85</f>
        <v>86643.835616438184</v>
      </c>
      <c r="G85" s="100">
        <f>+'(1) Budget 2020'!G85</f>
        <v>76199.099268155172</v>
      </c>
      <c r="H85" s="155">
        <f>+'(1) Budget 2020'!H85</f>
        <v>67013.454424870666</v>
      </c>
      <c r="I85" s="154">
        <f>+H84-I84</f>
        <v>58935.120192831848</v>
      </c>
      <c r="J85" s="100">
        <f t="shared" ref="J85:Q85" si="50">+I84-J84</f>
        <v>-10954.775574706029</v>
      </c>
      <c r="K85" s="100">
        <f t="shared" si="50"/>
        <v>-38173.012674376369</v>
      </c>
      <c r="L85" s="100">
        <f t="shared" si="50"/>
        <v>-33571.334434176795</v>
      </c>
      <c r="M85" s="100">
        <f t="shared" si="50"/>
        <v>-29524.379050331656</v>
      </c>
      <c r="N85" s="100">
        <f t="shared" si="50"/>
        <v>-209612.53609631909</v>
      </c>
      <c r="O85" s="100">
        <f t="shared" si="50"/>
        <v>-696.91530662495643</v>
      </c>
      <c r="P85" s="100">
        <f t="shared" si="50"/>
        <v>-612.90359842963517</v>
      </c>
      <c r="Q85" s="155">
        <f t="shared" si="50"/>
        <v>-116477.94626966957</v>
      </c>
      <c r="R85" s="267"/>
    </row>
    <row r="86" spans="1:18" s="66" customFormat="1" ht="15" x14ac:dyDescent="0.25">
      <c r="B86" s="66">
        <f>+'(1) Budget 2020'!B86</f>
        <v>0</v>
      </c>
      <c r="D86" s="70"/>
      <c r="E86" s="154">
        <f>+'(1) Budget 2020'!E86</f>
        <v>0</v>
      </c>
      <c r="F86" s="154">
        <f>+'(1) Budget 2020'!F86</f>
        <v>0</v>
      </c>
      <c r="G86" s="100">
        <f>+'(1) Budget 2020'!G86</f>
        <v>0</v>
      </c>
      <c r="H86" s="155">
        <f>+'(1) Budget 2020'!H86</f>
        <v>0</v>
      </c>
      <c r="I86" s="154"/>
      <c r="J86" s="100"/>
      <c r="K86" s="100"/>
      <c r="L86" s="100"/>
      <c r="M86" s="100"/>
      <c r="N86" s="100"/>
      <c r="O86" s="100"/>
      <c r="P86" s="100"/>
      <c r="Q86" s="155"/>
      <c r="R86" s="267"/>
    </row>
    <row r="87" spans="1:18" s="66" customFormat="1" ht="15" x14ac:dyDescent="0.25">
      <c r="B87" s="73" t="str">
        <f>+'(1) Budget 2020'!B87</f>
        <v>Depreciation Schedule</v>
      </c>
      <c r="D87" s="70"/>
      <c r="E87" s="154">
        <f>+'(1) Budget 2020'!E87</f>
        <v>0</v>
      </c>
      <c r="F87" s="154">
        <f>+'(1) Budget 2020'!F87</f>
        <v>0</v>
      </c>
      <c r="G87" s="100">
        <f>+'(1) Budget 2020'!G87</f>
        <v>0</v>
      </c>
      <c r="H87" s="155">
        <f>+'(1) Budget 2020'!H87</f>
        <v>0</v>
      </c>
      <c r="I87" s="154"/>
      <c r="J87" s="100"/>
      <c r="K87" s="100"/>
      <c r="L87" s="100"/>
      <c r="M87" s="100"/>
      <c r="N87" s="100"/>
      <c r="O87" s="100"/>
      <c r="P87" s="100"/>
      <c r="Q87" s="155"/>
      <c r="R87" s="267"/>
    </row>
    <row r="88" spans="1:18" s="66" customFormat="1" ht="15" x14ac:dyDescent="0.25">
      <c r="B88" s="66" t="str">
        <f>+'(1) Budget 2020'!B88</f>
        <v>PPE Opening</v>
      </c>
      <c r="D88" s="70"/>
      <c r="E88" s="154">
        <f>+'(1) Budget 2020'!E88</f>
        <v>1100000</v>
      </c>
      <c r="F88" s="154">
        <f>+'(1) Budget 2020'!F88</f>
        <v>1000000</v>
      </c>
      <c r="G88" s="100">
        <f>+'(1) Budget 2020'!G88</f>
        <v>987500</v>
      </c>
      <c r="H88" s="155">
        <f>+'(1) Budget 2020'!H88</f>
        <v>975000</v>
      </c>
      <c r="I88" s="154">
        <f>H91</f>
        <v>962500</v>
      </c>
      <c r="J88" s="100">
        <f t="shared" ref="J88:M88" si="51">I91</f>
        <v>950000</v>
      </c>
      <c r="K88" s="100">
        <f t="shared" si="51"/>
        <v>936979.16666666663</v>
      </c>
      <c r="L88" s="100">
        <f t="shared" si="51"/>
        <v>948958.33333333326</v>
      </c>
      <c r="M88" s="100">
        <f t="shared" si="51"/>
        <v>935937.49999999988</v>
      </c>
      <c r="N88" s="100">
        <f t="shared" ref="N88" si="52">M91</f>
        <v>922916.66666666651</v>
      </c>
      <c r="O88" s="100">
        <f t="shared" ref="O88" si="53">N91</f>
        <v>909895.83333333314</v>
      </c>
      <c r="P88" s="100">
        <f t="shared" ref="P88" si="54">O91</f>
        <v>896874.99999999977</v>
      </c>
      <c r="Q88" s="155">
        <f t="shared" ref="Q88" si="55">P91</f>
        <v>883854.1666666664</v>
      </c>
      <c r="R88" s="267"/>
    </row>
    <row r="89" spans="1:18" s="66" customFormat="1" ht="15" x14ac:dyDescent="0.25">
      <c r="B89" s="66" t="str">
        <f>+'(1) Budget 2020'!B89</f>
        <v>Plus Capex</v>
      </c>
      <c r="D89" s="70"/>
      <c r="E89" s="154">
        <f>+'(1) Budget 2020'!E89</f>
        <v>50000</v>
      </c>
      <c r="F89" s="154">
        <f t="shared" ref="F89:H89" si="56">-F63</f>
        <v>0</v>
      </c>
      <c r="G89" s="100">
        <f t="shared" si="56"/>
        <v>0</v>
      </c>
      <c r="H89" s="155">
        <f t="shared" si="56"/>
        <v>0</v>
      </c>
      <c r="I89" s="154">
        <f t="shared" ref="I89:J89" si="57">I63</f>
        <v>0</v>
      </c>
      <c r="J89" s="100">
        <f t="shared" si="57"/>
        <v>0</v>
      </c>
      <c r="K89" s="100">
        <f>K63</f>
        <v>25000</v>
      </c>
      <c r="L89" s="100">
        <f t="shared" ref="L89:Q89" si="58">L63</f>
        <v>0</v>
      </c>
      <c r="M89" s="100">
        <f t="shared" si="58"/>
        <v>0</v>
      </c>
      <c r="N89" s="100">
        <f t="shared" si="58"/>
        <v>0</v>
      </c>
      <c r="O89" s="100">
        <f t="shared" si="58"/>
        <v>0</v>
      </c>
      <c r="P89" s="100">
        <f t="shared" si="58"/>
        <v>0</v>
      </c>
      <c r="Q89" s="155">
        <f t="shared" si="58"/>
        <v>0</v>
      </c>
      <c r="R89" s="267"/>
    </row>
    <row r="90" spans="1:18" s="66" customFormat="1" ht="15" x14ac:dyDescent="0.25">
      <c r="B90" s="66" t="str">
        <f>+'(1) Budget 2020'!B90</f>
        <v>Less Depreciation</v>
      </c>
      <c r="D90" s="67"/>
      <c r="E90" s="154">
        <f>+'(1) Budget 2020'!E90</f>
        <v>150000</v>
      </c>
      <c r="F90" s="154">
        <f>+'(1) Budget 2020'!F90</f>
        <v>12500</v>
      </c>
      <c r="G90" s="100">
        <f>+'(1) Budget 2020'!G90</f>
        <v>12500</v>
      </c>
      <c r="H90" s="155">
        <f>+'(1) Budget 2020'!H90</f>
        <v>12500</v>
      </c>
      <c r="I90" s="154">
        <f t="shared" ref="I90:Q90" si="59">+I23</f>
        <v>12500</v>
      </c>
      <c r="J90" s="100">
        <f t="shared" si="59"/>
        <v>13020.833333333334</v>
      </c>
      <c r="K90" s="100">
        <f t="shared" si="59"/>
        <v>13020.833333333334</v>
      </c>
      <c r="L90" s="100">
        <f t="shared" si="59"/>
        <v>13020.833333333334</v>
      </c>
      <c r="M90" s="100">
        <f t="shared" si="59"/>
        <v>13020.833333333334</v>
      </c>
      <c r="N90" s="100">
        <f t="shared" si="59"/>
        <v>13020.833333333334</v>
      </c>
      <c r="O90" s="100">
        <f t="shared" si="59"/>
        <v>13020.833333333334</v>
      </c>
      <c r="P90" s="100">
        <f t="shared" si="59"/>
        <v>13020.833333333334</v>
      </c>
      <c r="Q90" s="155">
        <f t="shared" si="59"/>
        <v>13020.833333333334</v>
      </c>
      <c r="R90" s="267"/>
    </row>
    <row r="91" spans="1:18" s="66" customFormat="1" ht="15" x14ac:dyDescent="0.25">
      <c r="B91" s="98" t="str">
        <f>+'(1) Budget 2020'!B91</f>
        <v>PPE Closing</v>
      </c>
      <c r="C91" s="98"/>
      <c r="D91" s="99"/>
      <c r="E91" s="164">
        <f>+'(1) Budget 2020'!E91</f>
        <v>1000000</v>
      </c>
      <c r="F91" s="164">
        <f>+'(1) Budget 2020'!F91</f>
        <v>987500</v>
      </c>
      <c r="G91" s="101">
        <f>+'(1) Budget 2020'!G91</f>
        <v>975000</v>
      </c>
      <c r="H91" s="165">
        <f>+'(1) Budget 2020'!H91</f>
        <v>962500</v>
      </c>
      <c r="I91" s="164">
        <f>I88+I89-I90</f>
        <v>950000</v>
      </c>
      <c r="J91" s="101">
        <f t="shared" ref="J91:Q91" si="60">J88+J89-J90</f>
        <v>936979.16666666663</v>
      </c>
      <c r="K91" s="101">
        <f t="shared" si="60"/>
        <v>948958.33333333326</v>
      </c>
      <c r="L91" s="101">
        <f t="shared" si="60"/>
        <v>935937.49999999988</v>
      </c>
      <c r="M91" s="101">
        <f t="shared" si="60"/>
        <v>922916.66666666651</v>
      </c>
      <c r="N91" s="101">
        <f t="shared" si="60"/>
        <v>909895.83333333314</v>
      </c>
      <c r="O91" s="101">
        <f t="shared" si="60"/>
        <v>896874.99999999977</v>
      </c>
      <c r="P91" s="101">
        <f t="shared" si="60"/>
        <v>883854.1666666664</v>
      </c>
      <c r="Q91" s="165">
        <f t="shared" si="60"/>
        <v>870833.33333333302</v>
      </c>
      <c r="R91" s="267"/>
    </row>
    <row r="92" spans="1:18" s="66" customFormat="1" ht="15" x14ac:dyDescent="0.25">
      <c r="B92" s="66">
        <f>+'(1) Budget 2020'!B92</f>
        <v>0</v>
      </c>
      <c r="D92" s="70"/>
      <c r="E92" s="154">
        <f>+'(1) Budget 2020'!E92</f>
        <v>0</v>
      </c>
      <c r="F92" s="154">
        <f>+'(1) Budget 2020'!F92</f>
        <v>0</v>
      </c>
      <c r="G92" s="100">
        <f>+'(1) Budget 2020'!G92</f>
        <v>0</v>
      </c>
      <c r="H92" s="155">
        <f>+'(1) Budget 2020'!H92</f>
        <v>0</v>
      </c>
      <c r="I92" s="154"/>
      <c r="J92" s="100"/>
      <c r="K92" s="100"/>
      <c r="L92" s="100"/>
      <c r="M92" s="100"/>
      <c r="N92" s="100"/>
      <c r="O92" s="100"/>
      <c r="P92" s="100"/>
      <c r="Q92" s="155"/>
      <c r="R92" s="267"/>
    </row>
    <row r="93" spans="1:18" s="66" customFormat="1" ht="15" x14ac:dyDescent="0.25">
      <c r="B93" s="73" t="str">
        <f>+'(1) Budget 2020'!B93</f>
        <v>Debt &amp; Interest Schedule</v>
      </c>
      <c r="D93" s="70"/>
      <c r="E93" s="154">
        <f>+'(1) Budget 2020'!E93</f>
        <v>0</v>
      </c>
      <c r="F93" s="154">
        <f>+'(1) Budget 2020'!F93</f>
        <v>0</v>
      </c>
      <c r="G93" s="100">
        <f>+'(1) Budget 2020'!G93</f>
        <v>0</v>
      </c>
      <c r="H93" s="155">
        <f>+'(1) Budget 2020'!H93</f>
        <v>0</v>
      </c>
      <c r="I93" s="154"/>
      <c r="J93" s="100"/>
      <c r="K93" s="100"/>
      <c r="L93" s="100"/>
      <c r="M93" s="100"/>
      <c r="N93" s="100"/>
      <c r="O93" s="100"/>
      <c r="P93" s="100"/>
      <c r="Q93" s="155"/>
      <c r="R93" s="267"/>
    </row>
    <row r="94" spans="1:18" s="66" customFormat="1" ht="15" x14ac:dyDescent="0.25">
      <c r="B94" s="66" t="str">
        <f>+'(1) Budget 2020'!B94</f>
        <v>Debt Opening</v>
      </c>
      <c r="D94" s="70"/>
      <c r="E94" s="154">
        <f>+'(1) Budget 2020'!E94</f>
        <v>2550000</v>
      </c>
      <c r="F94" s="154">
        <f>+'(1) Budget 2020'!F94</f>
        <v>2800000</v>
      </c>
      <c r="G94" s="100">
        <f>+'(1) Budget 2020'!G94</f>
        <v>2800000</v>
      </c>
      <c r="H94" s="155">
        <f>+'(1) Budget 2020'!H94</f>
        <v>2800000</v>
      </c>
      <c r="I94" s="154">
        <f>H96</f>
        <v>2800000</v>
      </c>
      <c r="J94" s="100">
        <f t="shared" ref="J94:Q94" si="61">I96</f>
        <v>2800000</v>
      </c>
      <c r="K94" s="100">
        <f t="shared" si="61"/>
        <v>2600000</v>
      </c>
      <c r="L94" s="100">
        <f t="shared" si="61"/>
        <v>2600000</v>
      </c>
      <c r="M94" s="100">
        <f t="shared" si="61"/>
        <v>2600000</v>
      </c>
      <c r="N94" s="100">
        <f t="shared" si="61"/>
        <v>2600000</v>
      </c>
      <c r="O94" s="100">
        <f t="shared" si="61"/>
        <v>2600000</v>
      </c>
      <c r="P94" s="100">
        <f t="shared" si="61"/>
        <v>2600000</v>
      </c>
      <c r="Q94" s="155">
        <f t="shared" si="61"/>
        <v>2600000</v>
      </c>
      <c r="R94" s="267"/>
    </row>
    <row r="95" spans="1:18" ht="15" x14ac:dyDescent="0.25">
      <c r="A95" s="66"/>
      <c r="B95" s="66" t="str">
        <f>+'(1) Budget 2020'!B95</f>
        <v>Issuance (repayment)</v>
      </c>
      <c r="C95" s="66"/>
      <c r="D95" s="70"/>
      <c r="E95" s="154">
        <f>+'(1) Budget 2020'!E95</f>
        <v>250000</v>
      </c>
      <c r="F95" s="154">
        <f>F68</f>
        <v>0</v>
      </c>
      <c r="G95" s="100">
        <f t="shared" ref="G95:H95" si="62">G68</f>
        <v>0</v>
      </c>
      <c r="H95" s="155">
        <f t="shared" si="62"/>
        <v>0</v>
      </c>
      <c r="I95" s="154">
        <f>'(2) Oper. &amp; Fin. Levers'!F136+'(2) Oper. &amp; Fin. Levers'!F135</f>
        <v>0</v>
      </c>
      <c r="J95" s="100">
        <f>'(2) Oper. &amp; Fin. Levers'!G136+'(2) Oper. &amp; Fin. Levers'!G135</f>
        <v>0</v>
      </c>
      <c r="K95" s="100">
        <f>'(2) Oper. &amp; Fin. Levers'!H136+'(2) Oper. &amp; Fin. Levers'!H135</f>
        <v>0</v>
      </c>
      <c r="L95" s="100">
        <f>'(2) Oper. &amp; Fin. Levers'!I136+'(2) Oper. &amp; Fin. Levers'!I135</f>
        <v>0</v>
      </c>
      <c r="M95" s="100">
        <f>'(2) Oper. &amp; Fin. Levers'!J136+'(2) Oper. &amp; Fin. Levers'!J135</f>
        <v>0</v>
      </c>
      <c r="N95" s="100">
        <f>'(2) Oper. &amp; Fin. Levers'!K136+'(2) Oper. &amp; Fin. Levers'!K135</f>
        <v>0</v>
      </c>
      <c r="O95" s="100">
        <f>'(2) Oper. &amp; Fin. Levers'!L136+'(2) Oper. &amp; Fin. Levers'!L135</f>
        <v>0</v>
      </c>
      <c r="P95" s="100">
        <f>'(2) Oper. &amp; Fin. Levers'!M136+'(2) Oper. &amp; Fin. Levers'!M135</f>
        <v>0</v>
      </c>
      <c r="Q95" s="155">
        <f>'(2) Oper. &amp; Fin. Levers'!N136+'(2) Oper. &amp; Fin. Levers'!N135</f>
        <v>0</v>
      </c>
      <c r="R95" s="271"/>
    </row>
    <row r="96" spans="1:18" ht="15" x14ac:dyDescent="0.25">
      <c r="A96" s="66"/>
      <c r="B96" s="98" t="str">
        <f>+'(1) Budget 2020'!B96</f>
        <v>Debt Closing</v>
      </c>
      <c r="C96" s="98"/>
      <c r="D96" s="99"/>
      <c r="E96" s="164">
        <f>+'(1) Budget 2020'!E96</f>
        <v>2800000</v>
      </c>
      <c r="F96" s="164">
        <f>+'(1) Budget 2020'!F96</f>
        <v>2800000</v>
      </c>
      <c r="G96" s="101">
        <f>+'(1) Budget 2020'!G96</f>
        <v>2800000</v>
      </c>
      <c r="H96" s="165">
        <f>+'(1) Budget 2020'!H96</f>
        <v>2800000</v>
      </c>
      <c r="I96" s="164">
        <f>+'(2) Oper. &amp; Fin. Levers'!F138</f>
        <v>2800000</v>
      </c>
      <c r="J96" s="101">
        <f>+'(2) Oper. &amp; Fin. Levers'!G138</f>
        <v>2600000</v>
      </c>
      <c r="K96" s="101">
        <f>+'(2) Oper. &amp; Fin. Levers'!H138</f>
        <v>2600000</v>
      </c>
      <c r="L96" s="101">
        <f>+'(2) Oper. &amp; Fin. Levers'!I138</f>
        <v>2600000</v>
      </c>
      <c r="M96" s="101">
        <f>+'(2) Oper. &amp; Fin. Levers'!J138</f>
        <v>2600000</v>
      </c>
      <c r="N96" s="101">
        <f>+'(2) Oper. &amp; Fin. Levers'!K138</f>
        <v>2600000</v>
      </c>
      <c r="O96" s="101">
        <f>+'(2) Oper. &amp; Fin. Levers'!L138</f>
        <v>2600000</v>
      </c>
      <c r="P96" s="101">
        <f>+'(2) Oper. &amp; Fin. Levers'!M138</f>
        <v>2600000</v>
      </c>
      <c r="Q96" s="165">
        <f>+'(2) Oper. &amp; Fin. Levers'!N138</f>
        <v>2600000</v>
      </c>
      <c r="R96" s="271"/>
    </row>
    <row r="97" spans="1:18" ht="15" x14ac:dyDescent="0.25">
      <c r="A97" s="66"/>
      <c r="B97" s="66" t="str">
        <f>+'(1) Budget 2020'!B97</f>
        <v>Interest Expense</v>
      </c>
      <c r="C97" s="66"/>
      <c r="E97" s="124">
        <f>+'(1) Budget 2020'!E97</f>
        <v>50000</v>
      </c>
      <c r="F97" s="124">
        <f>+'(1) Budget 2020'!F97</f>
        <v>4166.666666666667</v>
      </c>
      <c r="G97" s="86">
        <f>+'(1) Budget 2020'!G97</f>
        <v>4166.666666666667</v>
      </c>
      <c r="H97" s="125">
        <f>+'(1) Budget 2020'!H97</f>
        <v>4166.666666666667</v>
      </c>
      <c r="I97" s="124">
        <f t="shared" ref="I97:Q97" si="63">+I26</f>
        <v>4166.666666666667</v>
      </c>
      <c r="J97" s="86">
        <f t="shared" si="63"/>
        <v>3869.0476190476188</v>
      </c>
      <c r="K97" s="86">
        <f t="shared" si="63"/>
        <v>3869.0476190476188</v>
      </c>
      <c r="L97" s="86">
        <f t="shared" si="63"/>
        <v>3869.0476190476188</v>
      </c>
      <c r="M97" s="86">
        <f t="shared" si="63"/>
        <v>3869.0476190476188</v>
      </c>
      <c r="N97" s="86">
        <f t="shared" si="63"/>
        <v>3869.0476190476188</v>
      </c>
      <c r="O97" s="86">
        <f t="shared" si="63"/>
        <v>3869.0476190476188</v>
      </c>
      <c r="P97" s="86">
        <f t="shared" si="63"/>
        <v>3869.0476190476188</v>
      </c>
      <c r="Q97" s="125">
        <f t="shared" si="63"/>
        <v>3869.0476190476188</v>
      </c>
      <c r="R97" s="280"/>
    </row>
    <row r="98" spans="1:18" x14ac:dyDescent="0.25"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</row>
    <row r="99" spans="1:18" x14ac:dyDescent="0.25"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</row>
    <row r="100" spans="1:18" x14ac:dyDescent="0.25"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</row>
    <row r="101" spans="1:18" s="66" customFormat="1" ht="21" thickBot="1" x14ac:dyDescent="0.4">
      <c r="B101" s="103" t="str">
        <f>+'(1) Budget 2020'!B101</f>
        <v>Stats</v>
      </c>
      <c r="C101" s="103"/>
      <c r="D101" s="103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</row>
    <row r="102" spans="1:18" ht="15" x14ac:dyDescent="0.25">
      <c r="B102" s="73" t="str">
        <f>+'(1) Budget 2020'!B102</f>
        <v>Income statement</v>
      </c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</row>
    <row r="103" spans="1:18" ht="15" x14ac:dyDescent="0.25">
      <c r="B103" s="66" t="s">
        <v>193</v>
      </c>
      <c r="C103" s="68"/>
      <c r="D103" s="178"/>
      <c r="E103" s="191">
        <f>E22/E13</f>
        <v>0.04</v>
      </c>
      <c r="F103" s="191">
        <f t="shared" ref="F103:Q103" si="64">F22/F13</f>
        <v>-0.08</v>
      </c>
      <c r="G103" s="191">
        <f t="shared" si="64"/>
        <v>-0.08</v>
      </c>
      <c r="H103" s="191">
        <f t="shared" si="64"/>
        <v>-0.08</v>
      </c>
      <c r="I103" s="191">
        <f t="shared" si="64"/>
        <v>-0.08</v>
      </c>
      <c r="J103" s="191">
        <f t="shared" si="64"/>
        <v>3.9999999999999966E-2</v>
      </c>
      <c r="K103" s="191">
        <f t="shared" si="64"/>
        <v>3.9999999999999966E-2</v>
      </c>
      <c r="L103" s="191">
        <f t="shared" si="64"/>
        <v>3.9999999999999966E-2</v>
      </c>
      <c r="M103" s="191">
        <f t="shared" si="64"/>
        <v>3.9999999999999966E-2</v>
      </c>
      <c r="N103" s="191">
        <f t="shared" si="64"/>
        <v>0.21909547738693472</v>
      </c>
      <c r="O103" s="191">
        <f t="shared" si="64"/>
        <v>3.9999999999999966E-2</v>
      </c>
      <c r="P103" s="191">
        <f t="shared" si="64"/>
        <v>3.9999999999999966E-2</v>
      </c>
      <c r="Q103" s="191">
        <f t="shared" si="64"/>
        <v>0.17846153846153853</v>
      </c>
      <c r="R103" s="187"/>
    </row>
    <row r="104" spans="1:18" ht="15" x14ac:dyDescent="0.25">
      <c r="B104" s="66" t="str">
        <f>+'(1) Budget 2020'!B104</f>
        <v>Revenue Growth (% Change)</v>
      </c>
      <c r="E104" s="179">
        <f>+'(1) Budget 2020'!E104</f>
        <v>0</v>
      </c>
      <c r="F104" s="180">
        <f>+'(1) Budget 2020'!F104</f>
        <v>0</v>
      </c>
      <c r="G104" s="180">
        <f>+'(1) Budget 2020'!G104</f>
        <v>0</v>
      </c>
      <c r="H104" s="180">
        <f>+'(1) Budget 2020'!H104</f>
        <v>0</v>
      </c>
      <c r="I104" s="180">
        <f>+'(1) Budget 2020'!I104</f>
        <v>0</v>
      </c>
      <c r="J104" s="180">
        <f>+'(1) Budget 2020'!J104</f>
        <v>0.33333333333333326</v>
      </c>
      <c r="K104" s="180">
        <f>+'(1) Budget 2020'!K104</f>
        <v>0</v>
      </c>
      <c r="L104" s="180">
        <f>+'(1) Budget 2020'!L104</f>
        <v>0</v>
      </c>
      <c r="M104" s="180">
        <f>+'(1) Budget 2020'!M104</f>
        <v>0</v>
      </c>
      <c r="N104" s="180">
        <f>+'(1) Budget 2020'!N104</f>
        <v>0.99000000000000021</v>
      </c>
      <c r="O104" s="180">
        <f>+'(1) Budget 2020'!O104</f>
        <v>-0.49748743718592969</v>
      </c>
      <c r="P104" s="180">
        <f>+'(1) Budget 2020'!P104</f>
        <v>0</v>
      </c>
      <c r="Q104" s="180">
        <f>+'(1) Budget 2020'!Q104</f>
        <v>0.625</v>
      </c>
      <c r="R104" s="187"/>
    </row>
    <row r="105" spans="1:18" ht="15" x14ac:dyDescent="0.25">
      <c r="B105" s="72" t="str">
        <f>+'(1) Budget 2020'!B105</f>
        <v>Cost of Goods Sold (% of Revenue)</v>
      </c>
      <c r="E105" s="181">
        <f>+'(1) Budget 2020'!E105</f>
        <v>0.6</v>
      </c>
      <c r="F105" s="181">
        <f>+'(1) Budget 2020'!F105</f>
        <v>0.6</v>
      </c>
      <c r="G105" s="181">
        <f>+'(1) Budget 2020'!G105</f>
        <v>0.6</v>
      </c>
      <c r="H105" s="181">
        <f>+'(1) Budget 2020'!H105</f>
        <v>0.6</v>
      </c>
      <c r="I105" s="181">
        <f>+'(1) Budget 2020'!I105</f>
        <v>0.6</v>
      </c>
      <c r="J105" s="181">
        <f>+'(1) Budget 2020'!J105</f>
        <v>0.6</v>
      </c>
      <c r="K105" s="181">
        <f>+'(1) Budget 2020'!K105</f>
        <v>0.6</v>
      </c>
      <c r="L105" s="181">
        <f>+'(1) Budget 2020'!L105</f>
        <v>0.6</v>
      </c>
      <c r="M105" s="181">
        <f>+'(1) Budget 2020'!M105</f>
        <v>0.6</v>
      </c>
      <c r="N105" s="181">
        <f>+'(1) Budget 2020'!N105</f>
        <v>0.6</v>
      </c>
      <c r="O105" s="181">
        <f>+'(1) Budget 2020'!O105</f>
        <v>0.6</v>
      </c>
      <c r="P105" s="181">
        <f>+'(1) Budget 2020'!P105</f>
        <v>0.6</v>
      </c>
      <c r="Q105" s="181">
        <f>+'(1) Budget 2020'!Q105</f>
        <v>0.6</v>
      </c>
      <c r="R105" s="187"/>
    </row>
    <row r="106" spans="1:18" ht="15" x14ac:dyDescent="0.25">
      <c r="B106" s="72" t="str">
        <f>+'(1) Budget 2020'!B106</f>
        <v>Depreciation &amp; Amortization (% of PP&amp;E Open Bal)</v>
      </c>
      <c r="E106" s="181">
        <f>+'(1) Budget 2020'!E106</f>
        <v>0.14285714285714285</v>
      </c>
      <c r="F106" s="181">
        <f>+'(1) Budget 2020'!F106</f>
        <v>0.15094339622641509</v>
      </c>
      <c r="G106" s="181">
        <f>+'(1) Budget 2020'!G106</f>
        <v>0.15286624203821655</v>
      </c>
      <c r="H106" s="181">
        <f>+'(1) Budget 2020'!H106</f>
        <v>0.15384615384615385</v>
      </c>
      <c r="I106" s="181">
        <f>+'(1) Budget 2020'!I106</f>
        <v>0.15584415584415584</v>
      </c>
      <c r="J106" s="181">
        <f>+'(1) Budget 2020'!J106</f>
        <v>0.16447368421052633</v>
      </c>
      <c r="K106" s="181">
        <f>+'(1) Budget 2020'!K106</f>
        <v>0.16675931072818234</v>
      </c>
      <c r="L106" s="181">
        <f>+'(1) Budget 2020'!L106</f>
        <v>0.16465422612513722</v>
      </c>
      <c r="M106" s="181">
        <f>+'(1) Budget 2020'!M106</f>
        <v>0.16694490818030053</v>
      </c>
      <c r="N106" s="181">
        <f>+'(1) Budget 2020'!N106</f>
        <v>0.16930022573363435</v>
      </c>
      <c r="O106" s="181">
        <f>+'(1) Budget 2020'!O106</f>
        <v>0.17172295363480256</v>
      </c>
      <c r="P106" s="181">
        <f>+'(1) Budget 2020'!P106</f>
        <v>0.1742160278745645</v>
      </c>
      <c r="Q106" s="181">
        <f>+'(1) Budget 2020'!Q106</f>
        <v>0.17678255745433122</v>
      </c>
      <c r="R106" s="187"/>
    </row>
    <row r="107" spans="1:18" ht="15" x14ac:dyDescent="0.25">
      <c r="B107" s="72" t="str">
        <f>+'(1) Budget 2020'!B107</f>
        <v>Interest (% of Debt Open Bal)</v>
      </c>
      <c r="E107" s="181">
        <f>+'(1) Budget 2020'!E107</f>
        <v>0</v>
      </c>
      <c r="F107" s="181">
        <f>+'(1) Budget 2020'!F107</f>
        <v>1.7857142857142856E-2</v>
      </c>
      <c r="G107" s="181">
        <f>+'(1) Budget 2020'!G107</f>
        <v>1.7857142857142856E-2</v>
      </c>
      <c r="H107" s="181">
        <f>+'(1) Budget 2020'!H107</f>
        <v>1.7857142857142856E-2</v>
      </c>
      <c r="I107" s="181">
        <f>+'(1) Budget 2020'!I107</f>
        <v>1.7857142857142856E-2</v>
      </c>
      <c r="J107" s="181">
        <f>+'(1) Budget 2020'!J107</f>
        <v>1.6581632653061226E-2</v>
      </c>
      <c r="K107" s="181">
        <f>+'(1) Budget 2020'!K107</f>
        <v>1.785714285714286E-2</v>
      </c>
      <c r="L107" s="181">
        <f>+'(1) Budget 2020'!L107</f>
        <v>1.785714285714286E-2</v>
      </c>
      <c r="M107" s="181">
        <f>+'(1) Budget 2020'!M107</f>
        <v>1.785714285714286E-2</v>
      </c>
      <c r="N107" s="181">
        <f>+'(1) Budget 2020'!N107</f>
        <v>1.785714285714286E-2</v>
      </c>
      <c r="O107" s="181">
        <f>+'(1) Budget 2020'!O107</f>
        <v>1.785714285714286E-2</v>
      </c>
      <c r="P107" s="181">
        <f>+'(1) Budget 2020'!P107</f>
        <v>1.785714285714286E-2</v>
      </c>
      <c r="Q107" s="181">
        <f>+'(1) Budget 2020'!Q107</f>
        <v>1.785714285714286E-2</v>
      </c>
      <c r="R107" s="187"/>
    </row>
    <row r="108" spans="1:18" ht="15" x14ac:dyDescent="0.25">
      <c r="B108" s="72" t="str">
        <f>+'(1) Budget 2020'!B108</f>
        <v>Tax Rate (% of Earnings Before Tax)</v>
      </c>
      <c r="E108" s="181">
        <f>+'(1) Budget 2020'!E108</f>
        <v>0.41666666666666669</v>
      </c>
      <c r="F108" s="181">
        <f>+'(1) Budget 2020'!F108</f>
        <v>0.41666666666666669</v>
      </c>
      <c r="G108" s="181">
        <f>+'(1) Budget 2020'!G108</f>
        <v>0.41666666666666669</v>
      </c>
      <c r="H108" s="181">
        <f>+'(1) Budget 2020'!H108</f>
        <v>0.41666666666666669</v>
      </c>
      <c r="I108" s="181">
        <f>+'(1) Budget 2020'!I108</f>
        <v>0.41666666666666669</v>
      </c>
      <c r="J108" s="181">
        <f>+'(1) Budget 2020'!J108</f>
        <v>0.41666666666666669</v>
      </c>
      <c r="K108" s="181">
        <f>+'(1) Budget 2020'!K108</f>
        <v>0.41666666666666669</v>
      </c>
      <c r="L108" s="181">
        <f>+'(1) Budget 2020'!L108</f>
        <v>0.41666666666666669</v>
      </c>
      <c r="M108" s="181">
        <f>+'(1) Budget 2020'!M108</f>
        <v>0.41666666666666669</v>
      </c>
      <c r="N108" s="181">
        <f>+'(1) Budget 2020'!N108</f>
        <v>0.41666666666666663</v>
      </c>
      <c r="O108" s="181">
        <f>+'(1) Budget 2020'!O108</f>
        <v>0.41666666666666669</v>
      </c>
      <c r="P108" s="181">
        <f>+'(1) Budget 2020'!P108</f>
        <v>0.41666666666666669</v>
      </c>
      <c r="Q108" s="181">
        <f>+'(1) Budget 2020'!Q108</f>
        <v>0.41666666666666669</v>
      </c>
      <c r="R108" s="187"/>
    </row>
    <row r="109" spans="1:18" ht="15" x14ac:dyDescent="0.25">
      <c r="B109" s="73" t="str">
        <f>+'(1) Budget 2020'!B109</f>
        <v>Balance Sheet</v>
      </c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187"/>
    </row>
    <row r="110" spans="1:18" ht="15" x14ac:dyDescent="0.25">
      <c r="B110" s="66" t="str">
        <f>+'(1) Budget 2020'!B110</f>
        <v>Accounts Receivable (Days)</v>
      </c>
      <c r="E110" s="77">
        <f>+'(1) Budget 2020'!E110</f>
        <v>43.8</v>
      </c>
      <c r="F110" s="77">
        <f>+'(1) Budget 2020'!F110</f>
        <v>55.026666666666678</v>
      </c>
      <c r="G110" s="77">
        <f>+'(1) Budget 2020'!G110</f>
        <v>52.059981735159838</v>
      </c>
      <c r="H110" s="77">
        <f>+'(1) Budget 2020'!H110</f>
        <v>49.450924576218192</v>
      </c>
      <c r="I110" s="77">
        <f>+'(1) Budget 2020'!I110</f>
        <v>47.156383896710622</v>
      </c>
      <c r="J110" s="77">
        <f>+'(1) Budget 2020'!J110</f>
        <v>40.785334136359289</v>
      </c>
      <c r="K110" s="77">
        <f>+'(1) Budget 2020'!K110</f>
        <v>36.801819339406158</v>
      </c>
      <c r="L110" s="77">
        <f>+'(1) Budget 2020'!L110</f>
        <v>37.782102304884134</v>
      </c>
      <c r="M110" s="77">
        <f>+'(1) Budget 2020'!M110</f>
        <v>38.644214173153813</v>
      </c>
      <c r="N110" s="77">
        <f>+'(1) Budget 2020'!N110</f>
        <v>29.943077075027642</v>
      </c>
      <c r="O110" s="77">
        <f>+'(1) Budget 2020'!O110</f>
        <v>29.956689066300861</v>
      </c>
      <c r="P110" s="77">
        <f>+'(1) Budget 2020'!P110</f>
        <v>44.80314693919393</v>
      </c>
      <c r="Q110" s="77">
        <f>+'(1) Budget 2020'!Q110</f>
        <v>36.727087977347253</v>
      </c>
      <c r="R110" s="187"/>
    </row>
    <row r="111" spans="1:18" ht="15" x14ac:dyDescent="0.25">
      <c r="B111" s="66" t="str">
        <f>+'(1) Budget 2020'!B111</f>
        <v>Inventory (Days)</v>
      </c>
      <c r="E111" s="77">
        <f>+'(1) Budget 2020'!E111</f>
        <v>73</v>
      </c>
      <c r="F111" s="77">
        <f>+'(1) Budget 2020'!F111</f>
        <v>97.333333333333329</v>
      </c>
      <c r="G111" s="77">
        <f>+'(1) Budget 2020'!G111</f>
        <v>97.333333333333329</v>
      </c>
      <c r="H111" s="77">
        <f>+'(1) Budget 2020'!H111</f>
        <v>97.333333333333329</v>
      </c>
      <c r="I111" s="77">
        <f>+'(1) Budget 2020'!I111</f>
        <v>97.333333333333329</v>
      </c>
      <c r="J111" s="77">
        <f>+'(1) Budget 2020'!J111</f>
        <v>73</v>
      </c>
      <c r="K111" s="77">
        <f>+'(1) Budget 2020'!K111</f>
        <v>73</v>
      </c>
      <c r="L111" s="77">
        <f>+'(1) Budget 2020'!L111</f>
        <v>73</v>
      </c>
      <c r="M111" s="77">
        <f>+'(1) Budget 2020'!M111</f>
        <v>73</v>
      </c>
      <c r="N111" s="77">
        <f>+'(1) Budget 2020'!N111</f>
        <v>36.683417085427138</v>
      </c>
      <c r="O111" s="77">
        <f>+'(1) Budget 2020'!O111</f>
        <v>73</v>
      </c>
      <c r="P111" s="77">
        <f>+'(1) Budget 2020'!P111</f>
        <v>73</v>
      </c>
      <c r="Q111" s="77">
        <f>+'(1) Budget 2020'!Q111</f>
        <v>44.923076923076927</v>
      </c>
      <c r="R111" s="187"/>
    </row>
    <row r="112" spans="1:18" ht="15" x14ac:dyDescent="0.25">
      <c r="B112" s="66" t="str">
        <f>+'(1) Budget 2020'!B112</f>
        <v>Accounts Payable (Days)</v>
      </c>
      <c r="E112" s="77">
        <f>+'(1) Budget 2020'!E112</f>
        <v>25.391304347826086</v>
      </c>
      <c r="F112" s="77">
        <f>+'(1) Budget 2020'!F112</f>
        <v>30.337662337662337</v>
      </c>
      <c r="G112" s="77">
        <f>+'(1) Budget 2020'!G112</f>
        <v>30.337662337662337</v>
      </c>
      <c r="H112" s="77">
        <f>+'(1) Budget 2020'!H112</f>
        <v>30.337662337662337</v>
      </c>
      <c r="I112" s="77">
        <f>+'(1) Budget 2020'!I112</f>
        <v>30.337662337662337</v>
      </c>
      <c r="J112" s="77">
        <f>+'(1) Budget 2020'!J112</f>
        <v>27.644970414201183</v>
      </c>
      <c r="K112" s="77">
        <f>+'(1) Budget 2020'!K112</f>
        <v>25.391304347826086</v>
      </c>
      <c r="L112" s="77">
        <f>+'(1) Budget 2020'!L112</f>
        <v>25.391304347826086</v>
      </c>
      <c r="M112" s="77">
        <f>+'(1) Budget 2020'!M112</f>
        <v>25.391304347826086</v>
      </c>
      <c r="N112" s="77">
        <f>+'(1) Budget 2020'!N112</f>
        <v>19.194741166803613</v>
      </c>
      <c r="O112" s="77">
        <f>+'(1) Budget 2020'!O112</f>
        <v>19.194741166803613</v>
      </c>
      <c r="P112" s="77">
        <f>+'(1) Budget 2020'!P112</f>
        <v>25.391304347826086</v>
      </c>
      <c r="Q112" s="77">
        <f>+'(1) Budget 2020'!Q112</f>
        <v>21.092550790067719</v>
      </c>
      <c r="R112" s="187"/>
    </row>
  </sheetData>
  <sheetProtection algorithmName="SHA-512" hashValue="E52aJAVf8TJzXKyEiNsTkVJGmlLJm+lG9AOvlNGRY/s2p7pDCOOMHZ39FRGjAPjCfSYdNG9E3BaP5zllfimFMw==" saltValue="j138P5j8wPxZDNrKecty/w==" spinCount="100000" sheet="1" objects="1" scenarios="1" selectLockedCells="1" selectUnlockedCells="1"/>
  <mergeCells count="3">
    <mergeCell ref="F7:R7"/>
    <mergeCell ref="F8:H8"/>
    <mergeCell ref="I8:R8"/>
  </mergeCells>
  <phoneticPr fontId="11" type="noConversion"/>
  <conditionalFormatting sqref="E10:Q10">
    <cfRule type="containsText" dxfId="3" priority="1" operator="containsText" text="OK">
      <formula>NOT(ISERROR(SEARCH("OK",E10)))</formula>
    </cfRule>
    <cfRule type="containsText" dxfId="2" priority="2" operator="containsText" text="ERROR">
      <formula>NOT(ISERROR(SEARCH("ERROR",E10)))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5CF14-ABAE-47F9-9CEC-12FEE11D6E03}">
  <sheetPr>
    <tabColor rgb="FF2E3B42"/>
  </sheetPr>
  <dimension ref="A1:W172"/>
  <sheetViews>
    <sheetView showGridLines="0" topLeftCell="C1" zoomScale="110" zoomScaleNormal="110" workbookViewId="0">
      <pane ySplit="9" topLeftCell="A49" activePane="bottomLeft" state="frozen"/>
      <selection activeCell="I34" sqref="I34"/>
      <selection pane="bottomLeft" activeCell="N27" sqref="N27"/>
    </sheetView>
  </sheetViews>
  <sheetFormatPr defaultColWidth="0" defaultRowHeight="13.8" zeroHeight="1" x14ac:dyDescent="0.25"/>
  <cols>
    <col min="1" max="2" width="8.77734375" style="67" hidden="1" customWidth="1"/>
    <col min="3" max="3" width="4.77734375" style="67" customWidth="1"/>
    <col min="4" max="6" width="8.77734375" style="67" customWidth="1"/>
    <col min="7" max="7" width="44.33203125" style="67" customWidth="1"/>
    <col min="8" max="9" width="13.109375" style="67" customWidth="1"/>
    <col min="10" max="12" width="14.44140625" style="67" bestFit="1" customWidth="1"/>
    <col min="13" max="13" width="11.6640625" style="67" bestFit="1" customWidth="1"/>
    <col min="14" max="14" width="26.6640625" style="67" customWidth="1"/>
    <col min="15" max="15" width="13.109375" style="67" customWidth="1"/>
    <col min="16" max="20" width="13.109375" style="67" hidden="1" customWidth="1"/>
    <col min="21" max="16384" width="8.77734375" style="67" hidden="1"/>
  </cols>
  <sheetData>
    <row r="1" spans="1:23" s="66" customFormat="1" ht="30" customHeight="1" x14ac:dyDescent="0.25"/>
    <row r="2" spans="1:23" s="66" customFormat="1" ht="30" customHeight="1" x14ac:dyDescent="0.25"/>
    <row r="3" spans="1:23" s="66" customFormat="1" ht="30" customHeight="1" x14ac:dyDescent="0.25"/>
    <row r="4" spans="1:23" s="66" customFormat="1" ht="30" customHeight="1" x14ac:dyDescent="0.3">
      <c r="S4"/>
      <c r="T4"/>
      <c r="U4"/>
      <c r="V4"/>
      <c r="W4"/>
    </row>
    <row r="5" spans="1:23" s="66" customFormat="1" ht="30" customHeight="1" x14ac:dyDescent="0.3">
      <c r="S5"/>
      <c r="T5"/>
      <c r="U5"/>
      <c r="V5"/>
      <c r="W5"/>
    </row>
    <row r="6" spans="1:23" s="66" customFormat="1" ht="30" customHeight="1" x14ac:dyDescent="0.3">
      <c r="N6"/>
      <c r="O6"/>
      <c r="P6"/>
      <c r="Q6"/>
      <c r="R6"/>
      <c r="S6"/>
      <c r="T6"/>
      <c r="U6"/>
      <c r="V6"/>
      <c r="W6"/>
    </row>
    <row r="7" spans="1:23" s="66" customFormat="1" ht="17.399999999999999" x14ac:dyDescent="0.3">
      <c r="A7" s="67"/>
      <c r="B7" s="67"/>
      <c r="C7" s="67"/>
      <c r="D7" s="67"/>
      <c r="E7" s="67"/>
      <c r="F7" s="67"/>
      <c r="G7" s="67"/>
      <c r="H7" s="67"/>
      <c r="I7" s="67"/>
      <c r="J7" s="167">
        <v>2019</v>
      </c>
      <c r="K7" s="385">
        <v>2020</v>
      </c>
      <c r="L7" s="386"/>
      <c r="M7" s="387"/>
      <c r="N7"/>
      <c r="O7"/>
      <c r="P7"/>
      <c r="Q7"/>
      <c r="R7"/>
      <c r="S7"/>
      <c r="T7"/>
      <c r="U7"/>
      <c r="V7"/>
      <c r="W7"/>
    </row>
    <row r="8" spans="1:23" s="66" customFormat="1" ht="15.6" x14ac:dyDescent="0.3">
      <c r="J8" s="168" t="s">
        <v>69</v>
      </c>
      <c r="K8" s="173" t="s">
        <v>71</v>
      </c>
      <c r="L8" s="174" t="s">
        <v>199</v>
      </c>
      <c r="M8" s="175" t="s">
        <v>198</v>
      </c>
      <c r="N8"/>
      <c r="O8"/>
      <c r="P8"/>
      <c r="Q8"/>
      <c r="R8"/>
      <c r="S8"/>
      <c r="T8"/>
      <c r="U8"/>
      <c r="V8"/>
      <c r="W8"/>
    </row>
    <row r="9" spans="1:23" s="68" customFormat="1" ht="17.399999999999999" x14ac:dyDescent="0.3">
      <c r="J9" s="169" t="s">
        <v>70</v>
      </c>
      <c r="K9" s="385" t="str">
        <f>'(1) Budget 2020'!R9</f>
        <v>FY</v>
      </c>
      <c r="L9" s="386"/>
      <c r="M9" s="387"/>
      <c r="N9"/>
      <c r="O9"/>
      <c r="P9"/>
      <c r="Q9"/>
      <c r="R9"/>
      <c r="S9"/>
      <c r="T9"/>
      <c r="U9"/>
      <c r="V9"/>
      <c r="W9"/>
    </row>
    <row r="10" spans="1:23" s="66" customFormat="1" ht="15.6" x14ac:dyDescent="0.3">
      <c r="I10" s="70"/>
      <c r="J10" s="281"/>
      <c r="K10" s="138"/>
      <c r="L10" s="71"/>
      <c r="M10" s="139"/>
      <c r="N10"/>
      <c r="O10"/>
      <c r="P10"/>
      <c r="Q10"/>
      <c r="R10"/>
      <c r="S10"/>
      <c r="T10"/>
      <c r="U10"/>
      <c r="V10"/>
      <c r="W10"/>
    </row>
    <row r="11" spans="1:23" s="66" customFormat="1" ht="21" thickBot="1" x14ac:dyDescent="0.4">
      <c r="G11" s="284" t="str">
        <f>+'(1) Budget 2020'!B12</f>
        <v>Income Statement</v>
      </c>
      <c r="H11" s="285"/>
      <c r="I11" s="285"/>
      <c r="J11" s="286"/>
      <c r="K11" s="284"/>
      <c r="L11" s="285"/>
      <c r="M11" s="287"/>
      <c r="N11"/>
      <c r="O11"/>
      <c r="P11"/>
      <c r="Q11"/>
      <c r="R11"/>
      <c r="S11"/>
      <c r="T11"/>
      <c r="U11"/>
      <c r="V11"/>
      <c r="W11"/>
    </row>
    <row r="12" spans="1:23" s="66" customFormat="1" ht="15.6" x14ac:dyDescent="0.3">
      <c r="G12" s="255" t="str">
        <f>+'(1) Budget 2020'!B13</f>
        <v>Revenue</v>
      </c>
      <c r="H12" s="84"/>
      <c r="I12" s="85"/>
      <c r="J12" s="259">
        <f>+'(1) Budget 2020'!E13</f>
        <v>12500000</v>
      </c>
      <c r="K12" s="235">
        <f>'(1) Budget 2020'!R13</f>
        <v>13140625</v>
      </c>
      <c r="L12" s="186">
        <f>'(3) Estimate'!R13</f>
        <v>13140625</v>
      </c>
      <c r="M12" s="236">
        <f t="shared" ref="M12:M51" si="0">IFERROR(ROUND((K12-L12)/K12,2),"")</f>
        <v>0</v>
      </c>
      <c r="N12"/>
      <c r="O12"/>
      <c r="P12"/>
      <c r="Q12"/>
      <c r="R12"/>
      <c r="S12"/>
      <c r="T12"/>
      <c r="U12"/>
      <c r="V12"/>
      <c r="W12"/>
    </row>
    <row r="13" spans="1:23" s="66" customFormat="1" ht="15.6" x14ac:dyDescent="0.3">
      <c r="G13" s="122" t="str">
        <f>+'(1) Budget 2020'!B14</f>
        <v>Cost of Goods Sold (COGS)</v>
      </c>
      <c r="H13" s="72"/>
      <c r="I13" s="75"/>
      <c r="J13" s="267">
        <f>+'(1) Budget 2020'!E14</f>
        <v>7500000</v>
      </c>
      <c r="K13" s="154">
        <f>'(1) Budget 2020'!R14</f>
        <v>7884375</v>
      </c>
      <c r="L13" s="100">
        <f>'(3) Estimate'!R14</f>
        <v>7884375</v>
      </c>
      <c r="M13" s="237">
        <f t="shared" si="0"/>
        <v>0</v>
      </c>
      <c r="S13"/>
      <c r="T13"/>
      <c r="U13"/>
      <c r="V13"/>
      <c r="W13"/>
    </row>
    <row r="14" spans="1:23" s="66" customFormat="1" ht="15.6" x14ac:dyDescent="0.3">
      <c r="G14" s="122"/>
      <c r="H14" s="72"/>
      <c r="I14" s="75"/>
      <c r="J14" s="267"/>
      <c r="K14" s="154"/>
      <c r="L14" s="100"/>
      <c r="M14" s="237" t="str">
        <f t="shared" si="0"/>
        <v/>
      </c>
      <c r="S14"/>
      <c r="T14"/>
      <c r="U14"/>
      <c r="V14"/>
      <c r="W14"/>
    </row>
    <row r="15" spans="1:23" s="66" customFormat="1" ht="15.6" x14ac:dyDescent="0.3">
      <c r="G15" s="288" t="str">
        <f>+'(1) Budget 2020'!B16</f>
        <v>Gross Profit</v>
      </c>
      <c r="H15" s="81"/>
      <c r="I15" s="82"/>
      <c r="J15" s="260">
        <f>+'(1) Budget 2020'!E16</f>
        <v>5000000</v>
      </c>
      <c r="K15" s="148">
        <f>'(1) Budget 2020'!R16</f>
        <v>5256249.9999999991</v>
      </c>
      <c r="L15" s="83">
        <f>'(3) Estimate'!R16</f>
        <v>5256249.9999999991</v>
      </c>
      <c r="M15" s="238">
        <f t="shared" si="0"/>
        <v>0</v>
      </c>
      <c r="S15"/>
      <c r="T15"/>
      <c r="U15"/>
      <c r="V15"/>
      <c r="W15"/>
    </row>
    <row r="16" spans="1:23" s="66" customFormat="1" ht="15.6" x14ac:dyDescent="0.3">
      <c r="G16" s="255" t="str">
        <f>+'(1) Budget 2020'!B17</f>
        <v>Expenses</v>
      </c>
      <c r="H16" s="84"/>
      <c r="I16" s="85"/>
      <c r="J16" s="259"/>
      <c r="K16" s="239"/>
      <c r="L16" s="80"/>
      <c r="M16" s="240" t="str">
        <f t="shared" si="0"/>
        <v/>
      </c>
      <c r="S16"/>
      <c r="T16"/>
      <c r="U16"/>
      <c r="V16"/>
      <c r="W16"/>
    </row>
    <row r="17" spans="7:23" s="66" customFormat="1" ht="15.6" x14ac:dyDescent="0.3">
      <c r="G17" s="122" t="str">
        <f>+'(1) Budget 2020'!B18</f>
        <v>Write-off Inventory</v>
      </c>
      <c r="H17" s="84"/>
      <c r="I17" s="85"/>
      <c r="J17" s="259">
        <f>+'(1) Budget 2020'!E18</f>
        <v>0</v>
      </c>
      <c r="K17" s="239">
        <f>'(1) Budget 2020'!R18</f>
        <v>0</v>
      </c>
      <c r="L17" s="80">
        <f>'(3) Estimate'!R18</f>
        <v>0</v>
      </c>
      <c r="M17" s="240" t="str">
        <f t="shared" si="0"/>
        <v/>
      </c>
      <c r="S17"/>
      <c r="T17"/>
      <c r="U17"/>
      <c r="V17"/>
      <c r="W17"/>
    </row>
    <row r="18" spans="7:23" s="66" customFormat="1" ht="15.6" x14ac:dyDescent="0.3">
      <c r="G18" s="122" t="str">
        <f>+'(1) Budget 2020'!B19</f>
        <v>Salaries and Benefits</v>
      </c>
      <c r="H18" s="72"/>
      <c r="I18" s="75"/>
      <c r="J18" s="267">
        <f>+'(1) Budget 2020'!E19</f>
        <v>500000</v>
      </c>
      <c r="K18" s="154">
        <f>'(1) Budget 2020'!R19</f>
        <v>500000.00000000006</v>
      </c>
      <c r="L18" s="100">
        <f>'(3) Estimate'!R19</f>
        <v>500000.00000000006</v>
      </c>
      <c r="M18" s="237">
        <f t="shared" si="0"/>
        <v>0</v>
      </c>
      <c r="S18"/>
      <c r="T18"/>
      <c r="U18"/>
      <c r="V18"/>
      <c r="W18"/>
    </row>
    <row r="19" spans="7:23" s="66" customFormat="1" ht="15.6" x14ac:dyDescent="0.3">
      <c r="G19" s="122" t="str">
        <f>+'(1) Budget 2020'!B20</f>
        <v>Rent and Overhead</v>
      </c>
      <c r="H19" s="72"/>
      <c r="I19" s="75"/>
      <c r="J19" s="267">
        <f>+'(1) Budget 2020'!E20</f>
        <v>4000000</v>
      </c>
      <c r="K19" s="154">
        <f>'(1) Budget 2020'!R20</f>
        <v>4000000.0000000005</v>
      </c>
      <c r="L19" s="100">
        <f>'(3) Estimate'!R20</f>
        <v>4000000.0000000005</v>
      </c>
      <c r="M19" s="237">
        <f t="shared" si="0"/>
        <v>0</v>
      </c>
      <c r="S19"/>
      <c r="T19"/>
      <c r="U19"/>
      <c r="V19"/>
      <c r="W19"/>
    </row>
    <row r="20" spans="7:23" s="66" customFormat="1" ht="15.6" x14ac:dyDescent="0.3">
      <c r="G20" s="122"/>
      <c r="H20" s="72"/>
      <c r="I20" s="75"/>
      <c r="J20" s="267"/>
      <c r="K20" s="154"/>
      <c r="L20" s="100"/>
      <c r="M20" s="237" t="str">
        <f t="shared" si="0"/>
        <v/>
      </c>
      <c r="N20"/>
      <c r="O20"/>
      <c r="P20"/>
      <c r="Q20"/>
      <c r="R20"/>
      <c r="S20"/>
      <c r="T20"/>
      <c r="U20"/>
      <c r="V20"/>
      <c r="W20"/>
    </row>
    <row r="21" spans="7:23" s="66" customFormat="1" ht="15.6" x14ac:dyDescent="0.3">
      <c r="G21" s="288" t="s">
        <v>165</v>
      </c>
      <c r="H21" s="81"/>
      <c r="I21" s="82"/>
      <c r="J21" s="260">
        <f>J15-J17-J18-J19</f>
        <v>500000</v>
      </c>
      <c r="K21" s="148">
        <f>'(1) Budget 2020'!R22</f>
        <v>756249.9999999986</v>
      </c>
      <c r="L21" s="83">
        <f>'(3) Estimate'!R22</f>
        <v>756250</v>
      </c>
      <c r="M21" s="238">
        <f t="shared" si="0"/>
        <v>0</v>
      </c>
      <c r="N21"/>
      <c r="O21"/>
      <c r="P21"/>
      <c r="Q21"/>
      <c r="R21"/>
      <c r="S21"/>
      <c r="T21"/>
      <c r="U21"/>
      <c r="V21"/>
      <c r="W21"/>
    </row>
    <row r="22" spans="7:23" s="66" customFormat="1" ht="15.6" x14ac:dyDescent="0.3">
      <c r="G22" s="122" t="str">
        <f>+'(1) Budget 2020'!B23</f>
        <v>Depreciation &amp; Amortization</v>
      </c>
      <c r="H22" s="72"/>
      <c r="I22" s="75"/>
      <c r="J22" s="267">
        <f>+'(1) Budget 2020'!E23</f>
        <v>150000</v>
      </c>
      <c r="K22" s="154">
        <f>'(1) Budget 2020'!R23</f>
        <v>154166.66666666666</v>
      </c>
      <c r="L22" s="100">
        <f>'(3) Estimate'!R23</f>
        <v>154166.66666666666</v>
      </c>
      <c r="M22" s="237">
        <f t="shared" si="0"/>
        <v>0</v>
      </c>
      <c r="N22"/>
      <c r="O22"/>
      <c r="P22"/>
      <c r="Q22"/>
      <c r="R22"/>
      <c r="S22"/>
      <c r="T22"/>
      <c r="U22"/>
      <c r="V22"/>
      <c r="W22"/>
    </row>
    <row r="23" spans="7:23" s="66" customFormat="1" ht="15.6" x14ac:dyDescent="0.3">
      <c r="G23" s="122"/>
      <c r="H23" s="72"/>
      <c r="I23" s="72"/>
      <c r="J23" s="267"/>
      <c r="K23" s="154"/>
      <c r="L23" s="100"/>
      <c r="M23" s="237" t="str">
        <f t="shared" si="0"/>
        <v/>
      </c>
      <c r="N23"/>
      <c r="O23"/>
      <c r="P23"/>
      <c r="Q23"/>
      <c r="R23"/>
      <c r="S23"/>
      <c r="T23"/>
      <c r="U23"/>
      <c r="V23"/>
      <c r="W23"/>
    </row>
    <row r="24" spans="7:23" s="66" customFormat="1" ht="15.6" x14ac:dyDescent="0.3">
      <c r="G24" s="288" t="s">
        <v>164</v>
      </c>
      <c r="H24" s="98"/>
      <c r="I24" s="99"/>
      <c r="J24" s="260">
        <f>+J21-J22</f>
        <v>350000</v>
      </c>
      <c r="K24" s="148">
        <f>'(1) Budget 2020'!R25</f>
        <v>602083.33333333198</v>
      </c>
      <c r="L24" s="83">
        <f>'(3) Estimate'!R25</f>
        <v>602083.33333333337</v>
      </c>
      <c r="M24" s="238">
        <f t="shared" si="0"/>
        <v>0</v>
      </c>
      <c r="N24"/>
      <c r="O24"/>
      <c r="P24"/>
      <c r="Q24"/>
      <c r="R24"/>
      <c r="S24"/>
      <c r="T24"/>
      <c r="U24"/>
      <c r="V24"/>
      <c r="W24"/>
    </row>
    <row r="25" spans="7:23" s="66" customFormat="1" ht="15.6" x14ac:dyDescent="0.3">
      <c r="G25" s="122" t="str">
        <f>+'(1) Budget 2020'!B26</f>
        <v>Interest</v>
      </c>
      <c r="H25" s="72"/>
      <c r="I25" s="75"/>
      <c r="J25" s="267">
        <f>+'(1) Budget 2020'!E26</f>
        <v>50000</v>
      </c>
      <c r="K25" s="154">
        <f>'(1) Budget 2020'!R26</f>
        <v>47619.047619047618</v>
      </c>
      <c r="L25" s="100">
        <f>'(3) Estimate'!R26</f>
        <v>47619.047619047618</v>
      </c>
      <c r="M25" s="237">
        <f t="shared" si="0"/>
        <v>0</v>
      </c>
      <c r="N25"/>
      <c r="O25"/>
      <c r="P25"/>
      <c r="Q25"/>
      <c r="R25"/>
      <c r="S25"/>
      <c r="T25"/>
      <c r="U25"/>
      <c r="V25"/>
      <c r="W25"/>
    </row>
    <row r="26" spans="7:23" s="66" customFormat="1" ht="15.6" x14ac:dyDescent="0.3">
      <c r="G26" s="122" t="str">
        <f>+'(1) Budget 2020'!B27</f>
        <v>Taxes</v>
      </c>
      <c r="H26" s="72"/>
      <c r="I26" s="75"/>
      <c r="J26" s="267">
        <f>+'(1) Budget 2020'!E27</f>
        <v>125000</v>
      </c>
      <c r="K26" s="154">
        <f>'(1) Budget 2020'!R27</f>
        <v>231026.78571428568</v>
      </c>
      <c r="L26" s="100">
        <f>'(3) Estimate'!R27</f>
        <v>231026.78571428568</v>
      </c>
      <c r="M26" s="237">
        <f t="shared" si="0"/>
        <v>0</v>
      </c>
      <c r="N26"/>
      <c r="O26"/>
      <c r="P26"/>
      <c r="Q26"/>
      <c r="R26"/>
      <c r="S26"/>
      <c r="T26"/>
      <c r="U26"/>
      <c r="V26"/>
      <c r="W26"/>
    </row>
    <row r="27" spans="7:23" s="66" customFormat="1" ht="15.6" x14ac:dyDescent="0.3">
      <c r="G27" s="122" t="s">
        <v>161</v>
      </c>
      <c r="H27" s="72"/>
      <c r="I27" s="75"/>
      <c r="J27" s="267">
        <v>0</v>
      </c>
      <c r="K27" s="154">
        <f>'(1) Budget 2020'!R28</f>
        <v>0</v>
      </c>
      <c r="L27" s="100">
        <f>'(3) Estimate'!R28</f>
        <v>0</v>
      </c>
      <c r="M27" s="237" t="str">
        <f t="shared" si="0"/>
        <v/>
      </c>
      <c r="N27"/>
      <c r="O27"/>
      <c r="P27"/>
      <c r="Q27"/>
      <c r="R27"/>
      <c r="S27"/>
      <c r="T27"/>
      <c r="U27"/>
      <c r="V27"/>
      <c r="W27"/>
    </row>
    <row r="28" spans="7:23" s="66" customFormat="1" ht="16.2" thickBot="1" x14ac:dyDescent="0.35">
      <c r="G28" s="289" t="str">
        <f>+'(1) Budget 2020'!B29</f>
        <v>PAT</v>
      </c>
      <c r="H28" s="87"/>
      <c r="I28" s="88"/>
      <c r="J28" s="263">
        <f>+J24-J25-J26-J27</f>
        <v>175000</v>
      </c>
      <c r="K28" s="152">
        <f>'(1) Budget 2020'!R29</f>
        <v>323437.49999999866</v>
      </c>
      <c r="L28" s="89">
        <f>'(3) Estimate'!R29</f>
        <v>323437.50000000012</v>
      </c>
      <c r="M28" s="241">
        <f t="shared" si="0"/>
        <v>0</v>
      </c>
      <c r="N28"/>
      <c r="O28"/>
      <c r="P28"/>
      <c r="Q28"/>
      <c r="R28"/>
      <c r="S28"/>
      <c r="T28"/>
      <c r="U28"/>
      <c r="V28"/>
      <c r="W28"/>
    </row>
    <row r="29" spans="7:23" s="66" customFormat="1" ht="16.2" thickTop="1" x14ac:dyDescent="0.3">
      <c r="G29" s="122"/>
      <c r="H29" s="72"/>
      <c r="I29" s="75"/>
      <c r="J29" s="267"/>
      <c r="K29" s="154"/>
      <c r="L29" s="100"/>
      <c r="M29" s="155" t="str">
        <f t="shared" si="0"/>
        <v/>
      </c>
      <c r="N29"/>
      <c r="O29"/>
      <c r="P29"/>
      <c r="Q29"/>
      <c r="R29"/>
      <c r="S29"/>
      <c r="T29"/>
      <c r="U29"/>
      <c r="V29"/>
      <c r="W29"/>
    </row>
    <row r="30" spans="7:23" s="66" customFormat="1" ht="15.6" x14ac:dyDescent="0.3">
      <c r="G30" s="122"/>
      <c r="H30" s="72"/>
      <c r="I30" s="75"/>
      <c r="J30" s="267"/>
      <c r="K30" s="154"/>
      <c r="L30" s="100"/>
      <c r="M30" s="155" t="str">
        <f t="shared" si="0"/>
        <v/>
      </c>
      <c r="N30"/>
      <c r="O30"/>
      <c r="P30"/>
      <c r="Q30"/>
      <c r="R30"/>
      <c r="S30"/>
      <c r="T30"/>
      <c r="U30"/>
      <c r="V30"/>
      <c r="W30"/>
    </row>
    <row r="31" spans="7:23" s="66" customFormat="1" ht="21" thickBot="1" x14ac:dyDescent="0.4">
      <c r="G31" s="142" t="str">
        <f>+'(1) Budget 2020'!B32</f>
        <v>Balance Sheet</v>
      </c>
      <c r="H31" s="103"/>
      <c r="I31" s="103"/>
      <c r="J31" s="272"/>
      <c r="K31" s="242"/>
      <c r="L31" s="188"/>
      <c r="M31" s="243" t="str">
        <f t="shared" si="0"/>
        <v/>
      </c>
      <c r="N31"/>
      <c r="O31"/>
      <c r="P31"/>
      <c r="Q31"/>
      <c r="R31"/>
      <c r="S31"/>
      <c r="T31"/>
      <c r="U31"/>
      <c r="V31"/>
      <c r="W31"/>
    </row>
    <row r="32" spans="7:23" s="66" customFormat="1" ht="15.6" x14ac:dyDescent="0.3">
      <c r="G32" s="255" t="str">
        <f>+'(1) Budget 2020'!B33</f>
        <v>Assets</v>
      </c>
      <c r="H32" s="72"/>
      <c r="I32" s="75"/>
      <c r="J32" s="267"/>
      <c r="K32" s="154"/>
      <c r="L32" s="100"/>
      <c r="M32" s="155" t="str">
        <f t="shared" si="0"/>
        <v/>
      </c>
      <c r="N32"/>
      <c r="O32"/>
      <c r="P32"/>
      <c r="Q32"/>
      <c r="R32"/>
      <c r="S32"/>
      <c r="T32"/>
      <c r="U32"/>
      <c r="V32"/>
      <c r="W32"/>
    </row>
    <row r="33" spans="7:23" s="66" customFormat="1" ht="15.6" x14ac:dyDescent="0.3">
      <c r="G33" s="122" t="str">
        <f>+'(1) Budget 2020'!B34</f>
        <v>Cash</v>
      </c>
      <c r="H33" s="72"/>
      <c r="I33" s="106"/>
      <c r="J33" s="267">
        <f>+'(1) Budget 2020'!E34</f>
        <v>475000</v>
      </c>
      <c r="K33" s="154">
        <f>'(1) Budget 2020'!Q34</f>
        <v>707798.65887861408</v>
      </c>
      <c r="L33" s="100">
        <f>'(3) Estimate'!Q34</f>
        <v>707798.65887861408</v>
      </c>
      <c r="M33" s="244">
        <f t="shared" ref="M33:M46" si="1">IFERROR(ROUND((L33-K33)/K33,2),"")</f>
        <v>0</v>
      </c>
      <c r="N33"/>
      <c r="O33"/>
      <c r="P33"/>
      <c r="Q33"/>
      <c r="R33"/>
      <c r="S33"/>
      <c r="T33"/>
      <c r="U33"/>
      <c r="V33"/>
      <c r="W33"/>
    </row>
    <row r="34" spans="7:23" s="66" customFormat="1" ht="15.6" x14ac:dyDescent="0.3">
      <c r="G34" s="122" t="str">
        <f>+'(1) Budget 2020'!B35</f>
        <v>Accounts Receivable</v>
      </c>
      <c r="H34" s="72"/>
      <c r="I34" s="106"/>
      <c r="J34" s="267">
        <f>+'(1) Budget 2020'!E35</f>
        <v>1500000</v>
      </c>
      <c r="K34" s="154">
        <f>'(1) Budget 2020'!Q35</f>
        <v>1650832.293502338</v>
      </c>
      <c r="L34" s="100">
        <f>'(3) Estimate'!Q35</f>
        <v>1650832.293502338</v>
      </c>
      <c r="M34" s="244">
        <f t="shared" si="1"/>
        <v>0</v>
      </c>
      <c r="N34"/>
      <c r="O34"/>
      <c r="P34"/>
      <c r="Q34"/>
      <c r="R34"/>
      <c r="S34"/>
      <c r="T34"/>
      <c r="U34"/>
      <c r="V34"/>
      <c r="W34"/>
    </row>
    <row r="35" spans="7:23" s="66" customFormat="1" ht="15.6" x14ac:dyDescent="0.3">
      <c r="G35" s="122" t="str">
        <f>+'(1) Budget 2020'!B36</f>
        <v>Inventory</v>
      </c>
      <c r="H35" s="72"/>
      <c r="I35" s="106"/>
      <c r="J35" s="267">
        <f>+'(1) Budget 2020'!E36</f>
        <v>2500000</v>
      </c>
      <c r="K35" s="154">
        <f>'(1) Budget 2020'!Q36</f>
        <v>2500000</v>
      </c>
      <c r="L35" s="100">
        <f>'(3) Estimate'!Q36</f>
        <v>2500000</v>
      </c>
      <c r="M35" s="244">
        <f t="shared" si="1"/>
        <v>0</v>
      </c>
      <c r="N35"/>
      <c r="O35"/>
      <c r="P35"/>
      <c r="Q35"/>
      <c r="R35"/>
      <c r="S35"/>
      <c r="T35"/>
      <c r="U35"/>
      <c r="V35"/>
      <c r="W35"/>
    </row>
    <row r="36" spans="7:23" s="66" customFormat="1" ht="15.6" x14ac:dyDescent="0.3">
      <c r="G36" s="122" t="str">
        <f>+'(1) Budget 2020'!B37</f>
        <v>Property &amp; Equipment</v>
      </c>
      <c r="H36" s="72"/>
      <c r="I36" s="75"/>
      <c r="J36" s="267">
        <f>+'(1) Budget 2020'!E37</f>
        <v>1000000</v>
      </c>
      <c r="K36" s="154">
        <f>'(1) Budget 2020'!Q37</f>
        <v>870833.33333333302</v>
      </c>
      <c r="L36" s="100">
        <f>'(3) Estimate'!Q37</f>
        <v>870833.33333333302</v>
      </c>
      <c r="M36" s="244">
        <f t="shared" si="1"/>
        <v>0</v>
      </c>
      <c r="N36"/>
      <c r="O36"/>
      <c r="P36"/>
      <c r="Q36"/>
      <c r="R36"/>
      <c r="S36"/>
      <c r="T36"/>
      <c r="U36"/>
      <c r="V36"/>
      <c r="W36"/>
    </row>
    <row r="37" spans="7:23" s="66" customFormat="1" ht="16.2" thickBot="1" x14ac:dyDescent="0.35">
      <c r="G37" s="289" t="str">
        <f>+'(1) Budget 2020'!B38</f>
        <v>Total Assets</v>
      </c>
      <c r="H37" s="87"/>
      <c r="I37" s="88"/>
      <c r="J37" s="263">
        <f>+'(1) Budget 2020'!E38</f>
        <v>5475000</v>
      </c>
      <c r="K37" s="152">
        <f>'(1) Budget 2020'!Q38</f>
        <v>5729464.2857142845</v>
      </c>
      <c r="L37" s="89">
        <f>'(3) Estimate'!Q38</f>
        <v>5729464.2857142845</v>
      </c>
      <c r="M37" s="245">
        <f t="shared" si="1"/>
        <v>0</v>
      </c>
      <c r="N37"/>
      <c r="O37"/>
      <c r="P37"/>
      <c r="Q37"/>
      <c r="R37"/>
      <c r="S37"/>
      <c r="T37"/>
      <c r="U37"/>
      <c r="V37"/>
      <c r="W37"/>
    </row>
    <row r="38" spans="7:23" s="66" customFormat="1" ht="16.2" thickTop="1" x14ac:dyDescent="0.3">
      <c r="G38" s="255"/>
      <c r="H38" s="84"/>
      <c r="I38" s="85"/>
      <c r="J38" s="259"/>
      <c r="K38" s="239"/>
      <c r="L38" s="80">
        <f>'(3) Estimate'!Q39</f>
        <v>3935.032258064517</v>
      </c>
      <c r="M38" s="246" t="str">
        <f t="shared" si="1"/>
        <v/>
      </c>
      <c r="N38"/>
      <c r="O38"/>
      <c r="P38"/>
      <c r="Q38"/>
      <c r="R38"/>
      <c r="S38"/>
      <c r="T38"/>
      <c r="U38"/>
      <c r="V38"/>
      <c r="W38"/>
    </row>
    <row r="39" spans="7:23" s="66" customFormat="1" ht="15.6" x14ac:dyDescent="0.3">
      <c r="G39" s="255" t="str">
        <f>+'(1) Budget 2020'!B40</f>
        <v>Liabilities</v>
      </c>
      <c r="H39" s="72"/>
      <c r="I39" s="106"/>
      <c r="J39" s="267"/>
      <c r="K39" s="154"/>
      <c r="L39" s="100">
        <f>'(3) Estimate'!Q40</f>
        <v>0</v>
      </c>
      <c r="M39" s="244" t="str">
        <f t="shared" si="1"/>
        <v/>
      </c>
      <c r="N39"/>
      <c r="O39"/>
      <c r="P39"/>
      <c r="Q39"/>
      <c r="R39"/>
      <c r="S39"/>
      <c r="T39"/>
      <c r="U39"/>
      <c r="V39"/>
      <c r="W39"/>
    </row>
    <row r="40" spans="7:23" s="66" customFormat="1" ht="15.6" x14ac:dyDescent="0.3">
      <c r="G40" s="122" t="str">
        <f>+'(1) Budget 2020'!B41</f>
        <v>Accounts Payable</v>
      </c>
      <c r="H40" s="72"/>
      <c r="I40" s="106"/>
      <c r="J40" s="267">
        <f>+'(1) Budget 2020'!E41</f>
        <v>800000</v>
      </c>
      <c r="K40" s="154">
        <f>'(1) Budget 2020'!Q41</f>
        <v>800000</v>
      </c>
      <c r="L40" s="100">
        <f>'(3) Estimate'!Q41</f>
        <v>800000</v>
      </c>
      <c r="M40" s="244">
        <f t="shared" si="1"/>
        <v>0</v>
      </c>
      <c r="N40"/>
      <c r="O40"/>
      <c r="P40"/>
      <c r="Q40"/>
      <c r="R40"/>
      <c r="S40"/>
      <c r="T40"/>
      <c r="U40"/>
      <c r="V40"/>
      <c r="W40"/>
    </row>
    <row r="41" spans="7:23" s="66" customFormat="1" ht="15.6" x14ac:dyDescent="0.3">
      <c r="G41" s="122" t="str">
        <f>+'(1) Budget 2020'!B42</f>
        <v>Taxes payable</v>
      </c>
      <c r="H41" s="72"/>
      <c r="I41" s="106"/>
      <c r="J41" s="267">
        <f>+'(1) Budget 2020'!E42</f>
        <v>175000</v>
      </c>
      <c r="K41" s="154">
        <f>'(1) Budget 2020'!Q42</f>
        <v>306026.78571428568</v>
      </c>
      <c r="L41" s="100">
        <f>'(3) Estimate'!Q42</f>
        <v>306026.78571428568</v>
      </c>
      <c r="M41" s="244">
        <f t="shared" si="1"/>
        <v>0</v>
      </c>
      <c r="N41"/>
      <c r="O41"/>
      <c r="P41"/>
      <c r="Q41"/>
      <c r="R41"/>
      <c r="S41"/>
      <c r="T41"/>
      <c r="U41"/>
      <c r="V41"/>
      <c r="W41"/>
    </row>
    <row r="42" spans="7:23" s="66" customFormat="1" ht="15.6" x14ac:dyDescent="0.3">
      <c r="G42" s="122" t="str">
        <f>+'(1) Budget 2020'!B43</f>
        <v>Debt</v>
      </c>
      <c r="H42" s="72"/>
      <c r="I42" s="75"/>
      <c r="J42" s="267">
        <f>+'(1) Budget 2020'!E43</f>
        <v>2800000</v>
      </c>
      <c r="K42" s="154">
        <f>'(1) Budget 2020'!Q43</f>
        <v>2600000</v>
      </c>
      <c r="L42" s="100">
        <f>'(3) Estimate'!Q43</f>
        <v>2600000</v>
      </c>
      <c r="M42" s="244">
        <f t="shared" si="1"/>
        <v>0</v>
      </c>
      <c r="N42"/>
      <c r="O42"/>
      <c r="P42"/>
      <c r="Q42"/>
      <c r="R42"/>
      <c r="S42"/>
      <c r="T42"/>
      <c r="U42"/>
      <c r="V42"/>
      <c r="W42"/>
    </row>
    <row r="43" spans="7:23" s="66" customFormat="1" ht="15.6" x14ac:dyDescent="0.3">
      <c r="G43" s="288" t="str">
        <f>+'(1) Budget 2020'!B44</f>
        <v>Total Liabilities</v>
      </c>
      <c r="H43" s="81"/>
      <c r="I43" s="82"/>
      <c r="J43" s="260">
        <f>+'(1) Budget 2020'!E44</f>
        <v>3775000</v>
      </c>
      <c r="K43" s="148">
        <f>'(1) Budget 2020'!Q44</f>
        <v>3706026.7857142854</v>
      </c>
      <c r="L43" s="83">
        <f>'(3) Estimate'!Q44</f>
        <v>3706026.7857142854</v>
      </c>
      <c r="M43" s="247">
        <f t="shared" si="1"/>
        <v>0</v>
      </c>
      <c r="N43"/>
      <c r="O43"/>
      <c r="P43"/>
      <c r="Q43"/>
      <c r="R43"/>
      <c r="S43"/>
      <c r="T43"/>
      <c r="U43"/>
      <c r="V43"/>
      <c r="W43"/>
    </row>
    <row r="44" spans="7:23" s="66" customFormat="1" ht="15.6" x14ac:dyDescent="0.3">
      <c r="G44" s="122" t="str">
        <f>+'(1) Budget 2020'!B45</f>
        <v>Equity Capital</v>
      </c>
      <c r="H44" s="72"/>
      <c r="I44" s="75"/>
      <c r="J44" s="267">
        <f>+'(1) Budget 2020'!E45</f>
        <v>200000</v>
      </c>
      <c r="K44" s="154">
        <f>'(1) Budget 2020'!Q45</f>
        <v>200000</v>
      </c>
      <c r="L44" s="100">
        <f>'(3) Estimate'!Q45</f>
        <v>200000</v>
      </c>
      <c r="M44" s="244">
        <f t="shared" si="1"/>
        <v>0</v>
      </c>
      <c r="N44"/>
      <c r="O44"/>
      <c r="P44"/>
      <c r="Q44"/>
      <c r="R44"/>
      <c r="S44"/>
      <c r="T44"/>
      <c r="U44"/>
      <c r="V44"/>
      <c r="W44"/>
    </row>
    <row r="45" spans="7:23" s="66" customFormat="1" ht="15.6" x14ac:dyDescent="0.3">
      <c r="G45" s="122" t="str">
        <f>+'(1) Budget 2020'!B46</f>
        <v>Retained Earnings</v>
      </c>
      <c r="H45" s="72"/>
      <c r="I45" s="75"/>
      <c r="J45" s="267">
        <f>+'(1) Budget 2020'!E46</f>
        <v>1500000</v>
      </c>
      <c r="K45" s="154">
        <f>'(1) Budget 2020'!Q46</f>
        <v>1823437.5000000002</v>
      </c>
      <c r="L45" s="100">
        <f>'(3) Estimate'!Q46</f>
        <v>1823437.5000000002</v>
      </c>
      <c r="M45" s="244">
        <f t="shared" si="1"/>
        <v>0</v>
      </c>
      <c r="N45"/>
      <c r="O45"/>
      <c r="P45"/>
      <c r="Q45"/>
      <c r="R45"/>
      <c r="S45"/>
      <c r="T45"/>
      <c r="U45"/>
      <c r="V45"/>
      <c r="W45"/>
    </row>
    <row r="46" spans="7:23" s="66" customFormat="1" ht="15.6" x14ac:dyDescent="0.3">
      <c r="G46" s="290" t="str">
        <f>+'(1) Budget 2020'!B47</f>
        <v>Shareholder's Equity</v>
      </c>
      <c r="H46" s="90"/>
      <c r="I46" s="91"/>
      <c r="J46" s="282">
        <f>+'(1) Budget 2020'!E47</f>
        <v>1700000</v>
      </c>
      <c r="K46" s="156">
        <f>'(1) Budget 2020'!Q47</f>
        <v>2023437.5000000002</v>
      </c>
      <c r="L46" s="92">
        <f>'(3) Estimate'!Q47</f>
        <v>2023437.5000000002</v>
      </c>
      <c r="M46" s="248">
        <f t="shared" si="1"/>
        <v>0</v>
      </c>
      <c r="N46"/>
      <c r="O46"/>
      <c r="P46"/>
      <c r="Q46"/>
      <c r="R46"/>
      <c r="S46"/>
      <c r="T46"/>
      <c r="U46"/>
      <c r="V46"/>
      <c r="W46"/>
    </row>
    <row r="47" spans="7:23" s="66" customFormat="1" ht="16.2" thickBot="1" x14ac:dyDescent="0.35">
      <c r="G47" s="289" t="str">
        <f>+'(1) Budget 2020'!B48</f>
        <v>Total Liabilities &amp; Shareholder's Equity</v>
      </c>
      <c r="H47" s="87"/>
      <c r="I47" s="88"/>
      <c r="J47" s="263">
        <f>+'(1) Budget 2020'!E48</f>
        <v>5475000</v>
      </c>
      <c r="K47" s="152">
        <f>'(1) Budget 2020'!Q48</f>
        <v>5729464.2857142854</v>
      </c>
      <c r="L47" s="89">
        <f>'(3) Estimate'!Q48</f>
        <v>5729464.2857142854</v>
      </c>
      <c r="M47" s="245">
        <f t="shared" ref="M47" si="2">IFERROR(ROUND((L47-K47)/K47,2),"")</f>
        <v>0</v>
      </c>
      <c r="N47"/>
      <c r="O47"/>
      <c r="P47"/>
      <c r="Q47"/>
      <c r="R47"/>
      <c r="S47"/>
      <c r="T47"/>
      <c r="U47"/>
      <c r="V47"/>
      <c r="W47"/>
    </row>
    <row r="48" spans="7:23" s="66" customFormat="1" ht="16.2" thickTop="1" x14ac:dyDescent="0.3">
      <c r="G48" s="122"/>
      <c r="H48" s="72"/>
      <c r="I48" s="75"/>
      <c r="J48" s="267"/>
      <c r="K48" s="154"/>
      <c r="L48" s="100"/>
      <c r="M48" s="155" t="str">
        <f t="shared" si="0"/>
        <v/>
      </c>
      <c r="N48"/>
      <c r="O48"/>
      <c r="P48"/>
      <c r="Q48"/>
      <c r="R48"/>
      <c r="S48"/>
      <c r="T48"/>
      <c r="U48"/>
      <c r="V48"/>
      <c r="W48"/>
    </row>
    <row r="49" spans="7:23" s="66" customFormat="1" ht="15.6" x14ac:dyDescent="0.3">
      <c r="G49" s="122"/>
      <c r="H49" s="72"/>
      <c r="I49" s="75"/>
      <c r="J49" s="267"/>
      <c r="K49" s="154"/>
      <c r="L49" s="100"/>
      <c r="M49" s="155" t="str">
        <f t="shared" si="0"/>
        <v/>
      </c>
      <c r="N49"/>
      <c r="O49"/>
      <c r="P49"/>
      <c r="Q49"/>
      <c r="R49"/>
      <c r="S49"/>
      <c r="T49"/>
      <c r="U49"/>
      <c r="V49"/>
      <c r="W49"/>
    </row>
    <row r="50" spans="7:23" s="66" customFormat="1" ht="21" thickBot="1" x14ac:dyDescent="0.4">
      <c r="G50" s="142" t="str">
        <f>+'(1) Budget 2020'!B53</f>
        <v>Cash Flow Statement</v>
      </c>
      <c r="H50" s="103"/>
      <c r="I50" s="103"/>
      <c r="J50" s="272"/>
      <c r="K50" s="242"/>
      <c r="L50" s="188"/>
      <c r="M50" s="243" t="str">
        <f t="shared" si="0"/>
        <v/>
      </c>
      <c r="N50"/>
      <c r="O50"/>
      <c r="P50"/>
      <c r="Q50"/>
      <c r="R50"/>
      <c r="S50"/>
      <c r="T50"/>
      <c r="U50"/>
      <c r="V50"/>
      <c r="W50"/>
    </row>
    <row r="51" spans="7:23" s="66" customFormat="1" ht="15.6" x14ac:dyDescent="0.3">
      <c r="G51" s="255" t="str">
        <f>+'(1) Budget 2020'!B54</f>
        <v>Operating Cash Flow</v>
      </c>
      <c r="H51" s="72"/>
      <c r="I51" s="75"/>
      <c r="J51" s="267"/>
      <c r="K51" s="154"/>
      <c r="L51" s="100"/>
      <c r="M51" s="155" t="str">
        <f t="shared" si="0"/>
        <v/>
      </c>
      <c r="N51"/>
      <c r="O51"/>
      <c r="P51"/>
      <c r="Q51"/>
      <c r="R51"/>
      <c r="S51"/>
      <c r="T51"/>
      <c r="U51"/>
      <c r="V51"/>
      <c r="W51"/>
    </row>
    <row r="52" spans="7:23" s="66" customFormat="1" ht="15.6" x14ac:dyDescent="0.3">
      <c r="G52" s="122" t="str">
        <f>+'(1) Budget 2020'!B55</f>
        <v>Net Earnings</v>
      </c>
      <c r="H52" s="72"/>
      <c r="I52" s="75"/>
      <c r="J52" s="267">
        <f>'(1) Budget 2020'!E55</f>
        <v>175000</v>
      </c>
      <c r="K52" s="154">
        <f>'(1) Budget 2020'!R55</f>
        <v>323437.5</v>
      </c>
      <c r="L52" s="100">
        <f>'(3) Estimate'!R55</f>
        <v>323437.5</v>
      </c>
      <c r="M52" s="244">
        <f t="shared" ref="M52:M72" si="3">IFERROR(ROUND((L52-K52)/K52,2),"")</f>
        <v>0</v>
      </c>
      <c r="N52"/>
      <c r="O52"/>
      <c r="P52"/>
      <c r="Q52"/>
      <c r="R52"/>
      <c r="S52"/>
      <c r="T52"/>
      <c r="U52"/>
      <c r="V52"/>
      <c r="W52"/>
    </row>
    <row r="53" spans="7:23" s="66" customFormat="1" ht="15.6" x14ac:dyDescent="0.3">
      <c r="G53" s="122" t="str">
        <f>+'(1) Budget 2020'!B56</f>
        <v>Plus: Depreciation &amp; Amortization</v>
      </c>
      <c r="H53" s="72"/>
      <c r="I53" s="75"/>
      <c r="J53" s="267">
        <f>'(1) Budget 2020'!E56</f>
        <v>150000</v>
      </c>
      <c r="K53" s="154">
        <f>'(1) Budget 2020'!R56</f>
        <v>154166.66666666666</v>
      </c>
      <c r="L53" s="100">
        <f>'(3) Estimate'!R56</f>
        <v>154166.66666666666</v>
      </c>
      <c r="M53" s="244">
        <f t="shared" si="3"/>
        <v>0</v>
      </c>
      <c r="N53"/>
      <c r="O53"/>
      <c r="P53"/>
      <c r="Q53"/>
      <c r="R53"/>
      <c r="S53"/>
      <c r="T53"/>
      <c r="U53"/>
      <c r="V53"/>
      <c r="W53"/>
    </row>
    <row r="54" spans="7:23" s="66" customFormat="1" ht="15.6" x14ac:dyDescent="0.3">
      <c r="G54" s="122" t="s">
        <v>188</v>
      </c>
      <c r="H54" s="72"/>
      <c r="I54" s="75"/>
      <c r="J54" s="267">
        <f>'(1) Budget 2020'!E57</f>
        <v>0</v>
      </c>
      <c r="K54" s="154">
        <f>'(1) Budget 2020'!R57</f>
        <v>231026.78571428568</v>
      </c>
      <c r="L54" s="100">
        <f>'(3) Estimate'!R57</f>
        <v>231026.78571428568</v>
      </c>
      <c r="M54" s="244">
        <f t="shared" si="3"/>
        <v>0</v>
      </c>
      <c r="N54"/>
      <c r="O54"/>
      <c r="P54"/>
      <c r="Q54"/>
      <c r="R54"/>
      <c r="S54"/>
      <c r="T54"/>
      <c r="U54"/>
      <c r="V54"/>
      <c r="W54"/>
    </row>
    <row r="55" spans="7:23" s="66" customFormat="1" ht="15.6" x14ac:dyDescent="0.3">
      <c r="G55" s="122" t="str">
        <f>+'(1) Budget 2020'!B58</f>
        <v>Less: Tax paid</v>
      </c>
      <c r="H55" s="72"/>
      <c r="I55" s="75"/>
      <c r="J55" s="267">
        <f>'(1) Budget 2020'!E58</f>
        <v>0</v>
      </c>
      <c r="K55" s="154">
        <f>'(1) Budget 2020'!R58</f>
        <v>100000</v>
      </c>
      <c r="L55" s="100">
        <f>'(3) Estimate'!R58</f>
        <v>100000</v>
      </c>
      <c r="M55" s="244">
        <f t="shared" si="3"/>
        <v>0</v>
      </c>
      <c r="N55"/>
      <c r="O55"/>
      <c r="P55"/>
      <c r="Q55"/>
      <c r="R55"/>
      <c r="S55"/>
      <c r="T55"/>
      <c r="U55"/>
      <c r="V55"/>
      <c r="W55"/>
    </row>
    <row r="56" spans="7:23" s="66" customFormat="1" ht="15.6" x14ac:dyDescent="0.3">
      <c r="G56" s="122" t="str">
        <f>+'(1) Budget 2020'!B59</f>
        <v>Changes in Working Capital</v>
      </c>
      <c r="H56" s="72"/>
      <c r="I56" s="75"/>
      <c r="J56" s="267">
        <f>'(1) Budget 2020'!E59</f>
        <v>9002.6500000000015</v>
      </c>
      <c r="K56" s="154">
        <f>'(1) Budget 2020'!R59</f>
        <v>-150832.29350233823</v>
      </c>
      <c r="L56" s="100">
        <f>'(3) Estimate'!R59</f>
        <v>-150832.29350233823</v>
      </c>
      <c r="M56" s="244">
        <f t="shared" si="3"/>
        <v>0</v>
      </c>
      <c r="N56"/>
      <c r="O56"/>
      <c r="P56"/>
      <c r="Q56"/>
      <c r="R56"/>
      <c r="S56"/>
      <c r="T56"/>
      <c r="U56"/>
      <c r="V56"/>
      <c r="W56"/>
    </row>
    <row r="57" spans="7:23" s="66" customFormat="1" ht="15.6" x14ac:dyDescent="0.3">
      <c r="G57" s="288" t="str">
        <f>+'(1) Budget 2020'!B60</f>
        <v>Cash from Operations</v>
      </c>
      <c r="H57" s="98"/>
      <c r="I57" s="99"/>
      <c r="J57" s="260">
        <f>'(1) Budget 2020'!E60</f>
        <v>334002.65000000002</v>
      </c>
      <c r="K57" s="148">
        <f>'(1) Budget 2020'!R60</f>
        <v>457798.65887861408</v>
      </c>
      <c r="L57" s="83">
        <f>'(3) Estimate'!R60</f>
        <v>457798.65887861408</v>
      </c>
      <c r="M57" s="247">
        <f t="shared" si="3"/>
        <v>0</v>
      </c>
      <c r="N57"/>
      <c r="O57"/>
      <c r="P57"/>
      <c r="Q57"/>
      <c r="R57"/>
      <c r="S57"/>
      <c r="T57"/>
      <c r="U57"/>
      <c r="V57"/>
      <c r="W57"/>
    </row>
    <row r="58" spans="7:23" s="66" customFormat="1" ht="15.6" x14ac:dyDescent="0.3">
      <c r="G58" s="255"/>
      <c r="H58" s="72"/>
      <c r="I58" s="75"/>
      <c r="J58" s="259"/>
      <c r="K58" s="239"/>
      <c r="L58" s="80"/>
      <c r="M58" s="246" t="str">
        <f t="shared" si="3"/>
        <v/>
      </c>
      <c r="N58"/>
      <c r="O58"/>
      <c r="P58"/>
      <c r="Q58"/>
      <c r="R58"/>
      <c r="S58"/>
      <c r="T58"/>
      <c r="U58"/>
      <c r="V58"/>
      <c r="W58"/>
    </row>
    <row r="59" spans="7:23" s="66" customFormat="1" ht="15.6" x14ac:dyDescent="0.3">
      <c r="G59" s="255" t="str">
        <f>+'(1) Budget 2020'!B62</f>
        <v>Investing Cash Flow</v>
      </c>
      <c r="H59" s="72"/>
      <c r="I59" s="75"/>
      <c r="J59" s="267"/>
      <c r="K59" s="154"/>
      <c r="L59" s="100"/>
      <c r="M59" s="244" t="str">
        <f t="shared" si="3"/>
        <v/>
      </c>
      <c r="N59"/>
      <c r="O59"/>
      <c r="P59"/>
      <c r="Q59"/>
      <c r="R59"/>
      <c r="S59"/>
      <c r="T59"/>
      <c r="U59"/>
      <c r="V59"/>
      <c r="W59"/>
    </row>
    <row r="60" spans="7:23" s="66" customFormat="1" ht="15.6" x14ac:dyDescent="0.3">
      <c r="G60" s="122" t="str">
        <f>+'(1) Budget 2020'!B63</f>
        <v>Investments in Property &amp; Equipment</v>
      </c>
      <c r="H60" s="72"/>
      <c r="I60" s="75"/>
      <c r="J60" s="267">
        <f>'(1) Budget 2020'!E63</f>
        <v>50000</v>
      </c>
      <c r="K60" s="154">
        <f>'(1) Budget 2020'!R63</f>
        <v>25000</v>
      </c>
      <c r="L60" s="100">
        <f>'(3) Estimate'!R63</f>
        <v>25000</v>
      </c>
      <c r="M60" s="244">
        <f t="shared" si="3"/>
        <v>0</v>
      </c>
      <c r="N60"/>
      <c r="O60"/>
      <c r="P60"/>
      <c r="Q60"/>
      <c r="R60"/>
      <c r="S60"/>
      <c r="T60"/>
      <c r="U60"/>
      <c r="V60"/>
      <c r="W60"/>
    </row>
    <row r="61" spans="7:23" s="66" customFormat="1" ht="15.6" x14ac:dyDescent="0.3">
      <c r="G61" s="122"/>
      <c r="H61" s="72"/>
      <c r="I61" s="75"/>
      <c r="J61" s="267"/>
      <c r="K61" s="154"/>
      <c r="L61" s="100"/>
      <c r="M61" s="244" t="str">
        <f t="shared" si="3"/>
        <v/>
      </c>
      <c r="N61"/>
      <c r="O61"/>
      <c r="P61"/>
      <c r="Q61"/>
      <c r="R61"/>
      <c r="S61"/>
      <c r="T61"/>
      <c r="U61"/>
      <c r="V61"/>
      <c r="W61"/>
    </row>
    <row r="62" spans="7:23" s="66" customFormat="1" ht="15.6" x14ac:dyDescent="0.3">
      <c r="G62" s="288" t="str">
        <f>+'(1) Budget 2020'!B65</f>
        <v>Cash from Investing</v>
      </c>
      <c r="H62" s="98"/>
      <c r="I62" s="99"/>
      <c r="J62" s="260">
        <f>'(1) Budget 2020'!E65</f>
        <v>-50000</v>
      </c>
      <c r="K62" s="148">
        <f>'(1) Budget 2020'!K65</f>
        <v>-25000</v>
      </c>
      <c r="L62" s="83">
        <f>'(3) Estimate'!R65</f>
        <v>-25000</v>
      </c>
      <c r="M62" s="247">
        <f t="shared" si="3"/>
        <v>0</v>
      </c>
      <c r="N62"/>
      <c r="O62"/>
      <c r="P62"/>
      <c r="Q62"/>
      <c r="R62"/>
      <c r="S62"/>
      <c r="T62"/>
      <c r="U62"/>
      <c r="V62"/>
      <c r="W62"/>
    </row>
    <row r="63" spans="7:23" s="66" customFormat="1" ht="15.6" x14ac:dyDescent="0.3">
      <c r="G63" s="255"/>
      <c r="H63" s="72"/>
      <c r="I63" s="75"/>
      <c r="J63" s="259"/>
      <c r="K63" s="239"/>
      <c r="L63" s="80"/>
      <c r="M63" s="246" t="str">
        <f t="shared" si="3"/>
        <v/>
      </c>
      <c r="N63"/>
      <c r="O63"/>
      <c r="P63"/>
      <c r="Q63"/>
      <c r="R63"/>
      <c r="S63"/>
      <c r="T63"/>
      <c r="U63"/>
      <c r="V63"/>
      <c r="W63"/>
    </row>
    <row r="64" spans="7:23" s="66" customFormat="1" ht="15.6" x14ac:dyDescent="0.3">
      <c r="G64" s="255" t="str">
        <f>+'(1) Budget 2020'!B67</f>
        <v>Financing Cash Flow</v>
      </c>
      <c r="H64" s="72"/>
      <c r="I64" s="75"/>
      <c r="J64" s="267"/>
      <c r="K64" s="154"/>
      <c r="L64" s="100"/>
      <c r="M64" s="244" t="str">
        <f t="shared" si="3"/>
        <v/>
      </c>
      <c r="N64"/>
      <c r="O64"/>
      <c r="P64"/>
      <c r="Q64"/>
      <c r="R64"/>
      <c r="S64"/>
      <c r="T64"/>
      <c r="U64"/>
      <c r="V64"/>
      <c r="W64"/>
    </row>
    <row r="65" spans="7:23" s="66" customFormat="1" ht="15.6" x14ac:dyDescent="0.3">
      <c r="G65" s="122" t="str">
        <f>+'(1) Budget 2020'!B68</f>
        <v>Issuance (repayment) of debt</v>
      </c>
      <c r="H65" s="72"/>
      <c r="I65" s="75"/>
      <c r="J65" s="267">
        <f>'(1) Budget 2020'!E68</f>
        <v>250000</v>
      </c>
      <c r="K65" s="154">
        <f>'(1) Budget 2020'!R68</f>
        <v>-200000</v>
      </c>
      <c r="L65" s="100">
        <f>'(3) Estimate'!R68</f>
        <v>-200000</v>
      </c>
      <c r="M65" s="244">
        <f t="shared" si="3"/>
        <v>0</v>
      </c>
      <c r="N65"/>
      <c r="O65"/>
      <c r="P65"/>
      <c r="Q65"/>
      <c r="R65"/>
      <c r="S65"/>
      <c r="T65"/>
      <c r="U65"/>
      <c r="V65"/>
      <c r="W65"/>
    </row>
    <row r="66" spans="7:23" s="66" customFormat="1" ht="15.6" x14ac:dyDescent="0.3">
      <c r="G66" s="122" t="str">
        <f>+'(1) Budget 2020'!B69</f>
        <v>Issuance (repayment) of equity</v>
      </c>
      <c r="H66" s="72"/>
      <c r="I66" s="75"/>
      <c r="J66" s="267">
        <f>'(1) Budget 2020'!E69</f>
        <v>0</v>
      </c>
      <c r="K66" s="154">
        <f>'(1) Budget 2020'!R69</f>
        <v>0</v>
      </c>
      <c r="L66" s="100">
        <f>'(3) Estimate'!R69</f>
        <v>0</v>
      </c>
      <c r="M66" s="244" t="str">
        <f t="shared" si="3"/>
        <v/>
      </c>
      <c r="N66"/>
      <c r="O66"/>
      <c r="P66"/>
      <c r="Q66"/>
      <c r="R66"/>
      <c r="S66"/>
      <c r="T66"/>
      <c r="U66"/>
      <c r="V66"/>
      <c r="W66"/>
    </row>
    <row r="67" spans="7:23" s="66" customFormat="1" ht="15.6" x14ac:dyDescent="0.3">
      <c r="G67" s="288" t="str">
        <f>+'(1) Budget 2020'!B70</f>
        <v>Cash from Financing</v>
      </c>
      <c r="H67" s="98"/>
      <c r="I67" s="99"/>
      <c r="J67" s="260">
        <f>'(1) Budget 2020'!E70</f>
        <v>250000</v>
      </c>
      <c r="K67" s="148">
        <f>'(1) Budget 2020'!R70</f>
        <v>-200000</v>
      </c>
      <c r="L67" s="83">
        <f>'(3) Estimate'!R70</f>
        <v>-200000</v>
      </c>
      <c r="M67" s="247">
        <f t="shared" si="3"/>
        <v>0</v>
      </c>
      <c r="N67"/>
      <c r="O67"/>
      <c r="P67"/>
      <c r="Q67"/>
      <c r="R67"/>
      <c r="S67"/>
      <c r="T67"/>
      <c r="U67"/>
      <c r="V67"/>
      <c r="W67"/>
    </row>
    <row r="68" spans="7:23" s="66" customFormat="1" ht="15.6" x14ac:dyDescent="0.3">
      <c r="G68" s="255"/>
      <c r="H68" s="72"/>
      <c r="I68" s="75"/>
      <c r="J68" s="259"/>
      <c r="K68" s="239"/>
      <c r="L68" s="80"/>
      <c r="M68" s="246" t="str">
        <f t="shared" si="3"/>
        <v/>
      </c>
      <c r="N68"/>
      <c r="O68"/>
      <c r="P68"/>
      <c r="Q68"/>
      <c r="R68"/>
      <c r="S68"/>
      <c r="T68"/>
      <c r="U68"/>
      <c r="V68"/>
      <c r="W68"/>
    </row>
    <row r="69" spans="7:23" s="66" customFormat="1" ht="15.6" x14ac:dyDescent="0.3">
      <c r="G69" s="122" t="str">
        <f>+'(1) Budget 2020'!B72</f>
        <v>Net Increase (decrease) in Cash</v>
      </c>
      <c r="H69" s="72"/>
      <c r="I69" s="75"/>
      <c r="J69" s="267">
        <f>'(1) Budget 2020'!E72</f>
        <v>0</v>
      </c>
      <c r="K69" s="154">
        <f>'(1) Budget 2020'!R72</f>
        <v>232798.65887861414</v>
      </c>
      <c r="L69" s="100">
        <f>'(3) Estimate'!R72</f>
        <v>232798.65887861408</v>
      </c>
      <c r="M69" s="244">
        <f t="shared" si="3"/>
        <v>0</v>
      </c>
      <c r="N69"/>
      <c r="O69"/>
      <c r="P69"/>
      <c r="Q69"/>
      <c r="R69"/>
      <c r="S69"/>
      <c r="T69"/>
      <c r="U69"/>
      <c r="V69"/>
      <c r="W69"/>
    </row>
    <row r="70" spans="7:23" s="66" customFormat="1" ht="15.6" x14ac:dyDescent="0.3">
      <c r="G70" s="122" t="str">
        <f>+'(1) Budget 2020'!B73</f>
        <v>Opening Cash Balance</v>
      </c>
      <c r="H70" s="72"/>
      <c r="I70" s="75"/>
      <c r="J70" s="267">
        <f>'(1) Budget 2020'!E73</f>
        <v>0</v>
      </c>
      <c r="K70" s="154">
        <f>'(1) Budget 2020'!R73</f>
        <v>4679655.1998868138</v>
      </c>
      <c r="L70" s="100">
        <f>'(3) Estimate'!R73</f>
        <v>4679655.1998868138</v>
      </c>
      <c r="M70" s="244">
        <f t="shared" si="3"/>
        <v>0</v>
      </c>
      <c r="N70"/>
      <c r="O70"/>
      <c r="P70"/>
      <c r="Q70"/>
      <c r="R70"/>
      <c r="S70"/>
      <c r="T70"/>
      <c r="U70"/>
      <c r="V70"/>
      <c r="W70"/>
    </row>
    <row r="71" spans="7:23" s="66" customFormat="1" ht="15.6" x14ac:dyDescent="0.3">
      <c r="G71" s="288" t="str">
        <f>+'(1) Budget 2020'!B74</f>
        <v>Closing Cash Balance</v>
      </c>
      <c r="H71" s="98"/>
      <c r="I71" s="99"/>
      <c r="J71" s="260">
        <f>'(1) Budget 2020'!E74</f>
        <v>475000</v>
      </c>
      <c r="K71" s="148">
        <f>'(1) Budget 2020'!R74</f>
        <v>4912453.858765428</v>
      </c>
      <c r="L71" s="83">
        <f>'(3) Estimate'!R74</f>
        <v>4912453.858765428</v>
      </c>
      <c r="M71" s="247">
        <f t="shared" si="3"/>
        <v>0</v>
      </c>
      <c r="N71"/>
      <c r="O71"/>
      <c r="P71"/>
      <c r="Q71"/>
      <c r="R71"/>
      <c r="S71"/>
      <c r="T71"/>
      <c r="U71"/>
      <c r="V71"/>
      <c r="W71"/>
    </row>
    <row r="72" spans="7:23" s="66" customFormat="1" ht="15.6" x14ac:dyDescent="0.3">
      <c r="G72" s="291"/>
      <c r="H72" s="292"/>
      <c r="I72" s="293"/>
      <c r="J72" s="283"/>
      <c r="K72" s="124"/>
      <c r="L72" s="86"/>
      <c r="M72" s="125" t="str">
        <f t="shared" si="3"/>
        <v/>
      </c>
      <c r="N72"/>
      <c r="O72"/>
      <c r="P72"/>
      <c r="Q72"/>
      <c r="R72"/>
      <c r="S72"/>
      <c r="T72"/>
      <c r="U72"/>
      <c r="V72"/>
      <c r="W72"/>
    </row>
    <row r="73" spans="7:23" s="66" customFormat="1" ht="15.6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7:23" s="66" customFormat="1" ht="20.399999999999999" x14ac:dyDescent="0.35">
      <c r="G74" s="397" t="s">
        <v>208</v>
      </c>
      <c r="H74" s="398"/>
      <c r="I74" s="398"/>
      <c r="J74" s="398"/>
      <c r="K74" s="398"/>
      <c r="L74" s="398"/>
      <c r="M74" s="399"/>
      <c r="N74"/>
      <c r="O74"/>
      <c r="P74"/>
      <c r="Q74"/>
      <c r="R74"/>
      <c r="S74"/>
      <c r="T74"/>
      <c r="U74"/>
      <c r="V74"/>
      <c r="W74"/>
    </row>
    <row r="75" spans="7:23" s="66" customFormat="1" ht="15.6" x14ac:dyDescent="0.3">
      <c r="G75" s="306" t="s">
        <v>200</v>
      </c>
      <c r="H75" s="98"/>
      <c r="I75" s="98"/>
      <c r="J75" s="307">
        <f>J15/J12</f>
        <v>0.4</v>
      </c>
      <c r="K75" s="308">
        <f>K15/K12</f>
        <v>0.39999999999999991</v>
      </c>
      <c r="L75" s="308">
        <f>L15/L12</f>
        <v>0.39999999999999991</v>
      </c>
      <c r="M75" s="309">
        <f>IFERROR(ROUND((L75-K75)/K75,2),"")</f>
        <v>0</v>
      </c>
      <c r="N75"/>
      <c r="O75"/>
      <c r="P75"/>
      <c r="Q75"/>
      <c r="R75"/>
      <c r="S75"/>
      <c r="T75"/>
      <c r="U75"/>
      <c r="V75"/>
      <c r="W75"/>
    </row>
    <row r="76" spans="7:23" ht="15.6" x14ac:dyDescent="0.3">
      <c r="G76" s="295" t="s">
        <v>201</v>
      </c>
      <c r="H76" s="106"/>
      <c r="I76" s="106"/>
      <c r="J76" s="119">
        <f>J21/J12</f>
        <v>0.04</v>
      </c>
      <c r="K76" s="297">
        <f>K21/K12</f>
        <v>5.7550535077288835E-2</v>
      </c>
      <c r="L76" s="297">
        <f>L21/L12</f>
        <v>5.7550535077288939E-2</v>
      </c>
      <c r="M76" s="304">
        <f t="shared" ref="M76:M82" si="4">IFERROR(ROUND((L76-K76)/K76,2),"")</f>
        <v>0</v>
      </c>
      <c r="N76"/>
      <c r="O76"/>
      <c r="P76"/>
      <c r="Q76"/>
      <c r="R76"/>
      <c r="S76"/>
      <c r="T76"/>
      <c r="U76"/>
      <c r="V76"/>
      <c r="W76"/>
    </row>
    <row r="77" spans="7:23" ht="15.6" x14ac:dyDescent="0.3">
      <c r="G77" s="295" t="s">
        <v>202</v>
      </c>
      <c r="H77" s="106"/>
      <c r="I77" s="106"/>
      <c r="J77" s="119">
        <f>J24/J12</f>
        <v>2.8000000000000001E-2</v>
      </c>
      <c r="K77" s="297">
        <f>K24/K12</f>
        <v>4.5818470075307073E-2</v>
      </c>
      <c r="L77" s="297">
        <f>L24/L12</f>
        <v>4.5818470075307177E-2</v>
      </c>
      <c r="M77" s="304">
        <f t="shared" si="4"/>
        <v>0</v>
      </c>
      <c r="N77"/>
      <c r="O77"/>
      <c r="P77"/>
      <c r="Q77"/>
      <c r="R77"/>
      <c r="S77"/>
      <c r="T77"/>
      <c r="U77"/>
      <c r="V77"/>
      <c r="W77"/>
    </row>
    <row r="78" spans="7:23" ht="15.6" x14ac:dyDescent="0.3">
      <c r="G78" s="295" t="s">
        <v>203</v>
      </c>
      <c r="H78" s="106"/>
      <c r="I78" s="106"/>
      <c r="J78" s="119">
        <f>J28/J12</f>
        <v>1.4E-2</v>
      </c>
      <c r="K78" s="297">
        <f>K28/K12</f>
        <v>2.4613555291319755E-2</v>
      </c>
      <c r="L78" s="297">
        <f>L28/L12</f>
        <v>2.4613555291319866E-2</v>
      </c>
      <c r="M78" s="304">
        <f t="shared" si="4"/>
        <v>0</v>
      </c>
      <c r="N78"/>
      <c r="O78"/>
      <c r="P78"/>
      <c r="Q78"/>
      <c r="R78"/>
      <c r="S78"/>
      <c r="T78"/>
      <c r="U78"/>
      <c r="V78"/>
      <c r="W78"/>
    </row>
    <row r="79" spans="7:23" ht="15.6" x14ac:dyDescent="0.3">
      <c r="G79" s="295" t="s">
        <v>204</v>
      </c>
      <c r="H79" s="106"/>
      <c r="I79" s="106"/>
      <c r="J79" s="298">
        <f>SUM(J33:J35)/SUM(J40:J41)</f>
        <v>4.5897435897435894</v>
      </c>
      <c r="K79" s="299">
        <f>SUM(K33:K35)/SUM(K40:K41)</f>
        <v>4.3928691557349469</v>
      </c>
      <c r="L79" s="299">
        <f>SUM(L33:L35)/SUM(L40:L41)</f>
        <v>4.3928691557349469</v>
      </c>
      <c r="M79" s="304">
        <f t="shared" si="4"/>
        <v>0</v>
      </c>
      <c r="N79"/>
      <c r="O79"/>
      <c r="P79"/>
      <c r="Q79"/>
      <c r="R79"/>
      <c r="S79"/>
      <c r="T79"/>
      <c r="U79"/>
      <c r="V79"/>
      <c r="W79"/>
    </row>
    <row r="80" spans="7:23" ht="15.6" x14ac:dyDescent="0.3">
      <c r="G80" s="295" t="s">
        <v>205</v>
      </c>
      <c r="H80" s="106"/>
      <c r="I80" s="106"/>
      <c r="J80" s="298">
        <f>J37/J46</f>
        <v>3.2205882352941178</v>
      </c>
      <c r="K80" s="299">
        <f>K37/K46</f>
        <v>2.8315499172642022</v>
      </c>
      <c r="L80" s="299">
        <f>L37/L46</f>
        <v>2.8315499172642022</v>
      </c>
      <c r="M80" s="304">
        <f t="shared" si="4"/>
        <v>0</v>
      </c>
      <c r="N80"/>
      <c r="O80"/>
      <c r="P80"/>
      <c r="Q80"/>
      <c r="R80"/>
      <c r="S80"/>
      <c r="T80"/>
      <c r="U80"/>
      <c r="V80"/>
      <c r="W80"/>
    </row>
    <row r="81" spans="7:23" ht="15.6" x14ac:dyDescent="0.3">
      <c r="G81" s="295" t="s">
        <v>206</v>
      </c>
      <c r="H81" s="106"/>
      <c r="I81" s="106"/>
      <c r="J81" s="300">
        <f>J28/J37</f>
        <v>3.1963470319634701E-2</v>
      </c>
      <c r="K81" s="301">
        <f>K28/K37</f>
        <v>5.6451612903225583E-2</v>
      </c>
      <c r="L81" s="301">
        <f>L28/L37</f>
        <v>5.645161290322584E-2</v>
      </c>
      <c r="M81" s="304">
        <f t="shared" si="4"/>
        <v>0</v>
      </c>
      <c r="N81"/>
      <c r="O81"/>
      <c r="P81"/>
      <c r="Q81"/>
      <c r="R81"/>
      <c r="S81"/>
      <c r="T81"/>
      <c r="U81"/>
      <c r="V81"/>
      <c r="W81"/>
    </row>
    <row r="82" spans="7:23" ht="15.6" x14ac:dyDescent="0.3">
      <c r="G82" s="296" t="s">
        <v>207</v>
      </c>
      <c r="H82" s="234"/>
      <c r="I82" s="234"/>
      <c r="J82" s="302">
        <f>J28/J46</f>
        <v>0.10294117647058823</v>
      </c>
      <c r="K82" s="303">
        <f>K28/K46</f>
        <v>0.15984555984555918</v>
      </c>
      <c r="L82" s="303">
        <f>L28/L46</f>
        <v>0.1598455598455599</v>
      </c>
      <c r="M82" s="305">
        <f t="shared" si="4"/>
        <v>0</v>
      </c>
      <c r="N82"/>
      <c r="O82"/>
      <c r="P82"/>
      <c r="Q82"/>
      <c r="R82"/>
      <c r="S82"/>
      <c r="T82"/>
      <c r="U82"/>
      <c r="V82"/>
      <c r="W82"/>
    </row>
    <row r="83" spans="7:23" ht="14.4" x14ac:dyDescent="0.3">
      <c r="N83"/>
      <c r="O83"/>
      <c r="P83"/>
      <c r="Q83"/>
      <c r="R83"/>
      <c r="S83"/>
      <c r="T83"/>
      <c r="U83"/>
      <c r="V83"/>
      <c r="W83"/>
    </row>
    <row r="84" spans="7:23" ht="14.4" x14ac:dyDescent="0.3">
      <c r="N84"/>
      <c r="O84"/>
      <c r="P84"/>
      <c r="Q84"/>
      <c r="R84"/>
      <c r="S84"/>
      <c r="T84"/>
      <c r="U84"/>
      <c r="V84"/>
      <c r="W84"/>
    </row>
    <row r="85" spans="7:23" ht="14.4" hidden="1" x14ac:dyDescent="0.3">
      <c r="N85"/>
      <c r="O85"/>
      <c r="P85"/>
      <c r="Q85"/>
      <c r="R85"/>
      <c r="S85"/>
      <c r="T85"/>
      <c r="U85"/>
      <c r="V85"/>
      <c r="W85"/>
    </row>
    <row r="86" spans="7:23" ht="14.4" hidden="1" x14ac:dyDescent="0.3">
      <c r="N86"/>
      <c r="O86"/>
      <c r="P86"/>
      <c r="Q86"/>
      <c r="R86"/>
      <c r="S86"/>
      <c r="T86"/>
      <c r="U86"/>
      <c r="V86"/>
      <c r="W86"/>
    </row>
    <row r="87" spans="7:23" ht="14.4" hidden="1" x14ac:dyDescent="0.3">
      <c r="N87"/>
      <c r="O87"/>
      <c r="P87"/>
      <c r="Q87"/>
      <c r="R87"/>
      <c r="S87"/>
      <c r="T87"/>
      <c r="U87"/>
      <c r="V87"/>
      <c r="W87"/>
    </row>
    <row r="88" spans="7:23" ht="14.4" hidden="1" x14ac:dyDescent="0.3">
      <c r="N88"/>
      <c r="O88"/>
      <c r="P88"/>
      <c r="Q88"/>
      <c r="R88"/>
      <c r="S88"/>
      <c r="T88"/>
      <c r="U88"/>
      <c r="V88"/>
      <c r="W88"/>
    </row>
    <row r="89" spans="7:23" ht="14.4" hidden="1" x14ac:dyDescent="0.3">
      <c r="N89"/>
      <c r="O89"/>
      <c r="P89"/>
      <c r="Q89"/>
      <c r="R89"/>
      <c r="S89"/>
      <c r="T89"/>
      <c r="U89"/>
      <c r="V89"/>
      <c r="W89"/>
    </row>
    <row r="90" spans="7:23" ht="14.4" hidden="1" x14ac:dyDescent="0.3">
      <c r="N90"/>
      <c r="O90"/>
      <c r="P90"/>
      <c r="Q90"/>
      <c r="R90"/>
      <c r="S90"/>
      <c r="T90"/>
      <c r="U90"/>
      <c r="V90"/>
      <c r="W90"/>
    </row>
    <row r="91" spans="7:23" ht="14.4" hidden="1" x14ac:dyDescent="0.3">
      <c r="N91"/>
      <c r="O91"/>
      <c r="P91"/>
      <c r="Q91"/>
      <c r="R91"/>
      <c r="S91"/>
      <c r="T91"/>
      <c r="U91"/>
      <c r="V91"/>
      <c r="W91"/>
    </row>
    <row r="92" spans="7:23" ht="14.4" hidden="1" x14ac:dyDescent="0.3">
      <c r="N92"/>
      <c r="O92"/>
      <c r="P92"/>
      <c r="Q92"/>
      <c r="R92"/>
      <c r="S92"/>
      <c r="T92"/>
      <c r="U92"/>
      <c r="V92"/>
      <c r="W92"/>
    </row>
    <row r="93" spans="7:23" ht="14.4" hidden="1" x14ac:dyDescent="0.3">
      <c r="N93"/>
      <c r="O93"/>
      <c r="P93"/>
      <c r="Q93"/>
      <c r="R93"/>
      <c r="S93"/>
      <c r="T93"/>
      <c r="U93"/>
      <c r="V93"/>
      <c r="W93"/>
    </row>
    <row r="94" spans="7:23" ht="14.4" hidden="1" x14ac:dyDescent="0.3">
      <c r="N94"/>
      <c r="O94"/>
      <c r="P94"/>
      <c r="Q94"/>
      <c r="R94"/>
      <c r="S94"/>
      <c r="T94"/>
      <c r="U94"/>
      <c r="V94"/>
      <c r="W94"/>
    </row>
    <row r="95" spans="7:23" ht="14.4" hidden="1" x14ac:dyDescent="0.3">
      <c r="N95"/>
      <c r="O95"/>
      <c r="P95"/>
      <c r="Q95"/>
      <c r="R95"/>
      <c r="S95"/>
      <c r="T95"/>
      <c r="U95"/>
      <c r="V95"/>
      <c r="W95"/>
    </row>
    <row r="96" spans="7:23" ht="14.4" hidden="1" x14ac:dyDescent="0.3">
      <c r="N96"/>
      <c r="O96"/>
      <c r="P96"/>
      <c r="Q96"/>
      <c r="R96"/>
      <c r="S96"/>
      <c r="T96"/>
      <c r="U96"/>
      <c r="V96"/>
      <c r="W96"/>
    </row>
    <row r="97" spans="14:23" ht="14.4" hidden="1" x14ac:dyDescent="0.3">
      <c r="N97"/>
      <c r="O97"/>
      <c r="P97"/>
      <c r="Q97"/>
      <c r="R97"/>
      <c r="S97"/>
      <c r="T97"/>
      <c r="U97"/>
      <c r="V97"/>
      <c r="W97"/>
    </row>
    <row r="98" spans="14:23" ht="14.4" hidden="1" x14ac:dyDescent="0.3">
      <c r="N98"/>
      <c r="O98"/>
      <c r="P98"/>
      <c r="Q98"/>
      <c r="R98"/>
      <c r="S98"/>
      <c r="T98"/>
      <c r="U98"/>
      <c r="V98"/>
      <c r="W98"/>
    </row>
    <row r="99" spans="14:23" ht="14.4" hidden="1" x14ac:dyDescent="0.3">
      <c r="N99"/>
      <c r="O99"/>
      <c r="P99"/>
      <c r="Q99"/>
      <c r="R99"/>
      <c r="S99"/>
      <c r="T99"/>
      <c r="U99"/>
      <c r="V99"/>
      <c r="W99"/>
    </row>
    <row r="100" spans="14:23" ht="14.4" hidden="1" x14ac:dyDescent="0.3">
      <c r="N100"/>
      <c r="O100"/>
      <c r="P100"/>
      <c r="Q100"/>
      <c r="R100"/>
      <c r="S100"/>
      <c r="T100"/>
      <c r="U100"/>
      <c r="V100"/>
      <c r="W100"/>
    </row>
    <row r="101" spans="14:23" ht="14.4" hidden="1" x14ac:dyDescent="0.3">
      <c r="N101"/>
      <c r="O101"/>
      <c r="P101"/>
      <c r="Q101"/>
      <c r="R101"/>
      <c r="S101"/>
      <c r="T101"/>
      <c r="U101"/>
      <c r="V101"/>
      <c r="W101"/>
    </row>
    <row r="102" spans="14:23" ht="14.4" hidden="1" x14ac:dyDescent="0.3">
      <c r="N102"/>
      <c r="O102"/>
      <c r="P102"/>
      <c r="Q102"/>
      <c r="R102"/>
      <c r="S102"/>
      <c r="T102"/>
      <c r="U102"/>
      <c r="V102"/>
      <c r="W102"/>
    </row>
    <row r="103" spans="14:23" ht="14.4" hidden="1" x14ac:dyDescent="0.3">
      <c r="N103"/>
      <c r="O103"/>
      <c r="P103"/>
      <c r="Q103"/>
      <c r="R103"/>
      <c r="S103"/>
      <c r="T103"/>
      <c r="U103"/>
      <c r="V103"/>
      <c r="W103"/>
    </row>
    <row r="104" spans="14:23" ht="14.4" hidden="1" x14ac:dyDescent="0.3">
      <c r="N104"/>
      <c r="O104"/>
      <c r="P104"/>
      <c r="Q104"/>
      <c r="R104"/>
      <c r="S104"/>
      <c r="T104"/>
      <c r="U104"/>
      <c r="V104"/>
      <c r="W104"/>
    </row>
    <row r="105" spans="14:23" ht="14.4" hidden="1" x14ac:dyDescent="0.3">
      <c r="N105"/>
      <c r="O105"/>
      <c r="P105"/>
      <c r="Q105"/>
      <c r="R105"/>
      <c r="S105"/>
      <c r="T105"/>
      <c r="U105"/>
      <c r="V105"/>
      <c r="W105"/>
    </row>
    <row r="106" spans="14:23" ht="14.4" hidden="1" x14ac:dyDescent="0.3">
      <c r="N106"/>
      <c r="O106"/>
      <c r="P106"/>
      <c r="Q106"/>
      <c r="R106"/>
      <c r="S106"/>
      <c r="T106"/>
      <c r="U106"/>
      <c r="V106"/>
      <c r="W106"/>
    </row>
    <row r="107" spans="14:23" ht="14.4" hidden="1" x14ac:dyDescent="0.3">
      <c r="N107"/>
      <c r="O107"/>
      <c r="P107"/>
      <c r="Q107"/>
      <c r="R107"/>
      <c r="S107"/>
      <c r="T107"/>
      <c r="U107"/>
      <c r="V107"/>
      <c r="W107"/>
    </row>
    <row r="108" spans="14:23" ht="14.4" hidden="1" x14ac:dyDescent="0.3">
      <c r="N108"/>
      <c r="O108"/>
      <c r="P108"/>
      <c r="Q108"/>
      <c r="R108"/>
      <c r="S108"/>
      <c r="T108"/>
      <c r="U108"/>
      <c r="V108"/>
      <c r="W108"/>
    </row>
    <row r="109" spans="14:23" ht="14.4" hidden="1" x14ac:dyDescent="0.3">
      <c r="N109"/>
      <c r="O109"/>
      <c r="P109"/>
      <c r="Q109"/>
      <c r="R109"/>
      <c r="S109"/>
      <c r="T109"/>
      <c r="U109"/>
      <c r="V109"/>
      <c r="W109"/>
    </row>
    <row r="110" spans="14:23" ht="14.4" hidden="1" x14ac:dyDescent="0.3">
      <c r="N110"/>
      <c r="O110"/>
      <c r="P110"/>
      <c r="Q110"/>
      <c r="R110"/>
      <c r="S110"/>
      <c r="T110"/>
      <c r="U110"/>
      <c r="V110"/>
      <c r="W110"/>
    </row>
    <row r="111" spans="14:23" ht="14.4" hidden="1" x14ac:dyDescent="0.3">
      <c r="N111"/>
      <c r="O111"/>
      <c r="P111"/>
      <c r="Q111"/>
      <c r="R111"/>
      <c r="S111"/>
      <c r="T111"/>
      <c r="U111"/>
      <c r="V111"/>
      <c r="W111"/>
    </row>
    <row r="112" spans="14:23" ht="14.4" hidden="1" x14ac:dyDescent="0.3">
      <c r="N112"/>
      <c r="O112"/>
      <c r="P112"/>
      <c r="Q112"/>
      <c r="R112"/>
      <c r="S112"/>
      <c r="T112"/>
      <c r="U112"/>
      <c r="V112"/>
      <c r="W112"/>
    </row>
    <row r="113" spans="14:23" ht="14.4" hidden="1" x14ac:dyDescent="0.3">
      <c r="N113"/>
      <c r="O113"/>
      <c r="P113"/>
      <c r="Q113"/>
      <c r="R113"/>
      <c r="S113"/>
      <c r="T113"/>
      <c r="U113"/>
      <c r="V113"/>
      <c r="W113"/>
    </row>
    <row r="114" spans="14:23" ht="14.4" hidden="1" x14ac:dyDescent="0.3">
      <c r="N114"/>
      <c r="O114"/>
      <c r="P114"/>
      <c r="Q114"/>
      <c r="R114"/>
      <c r="S114"/>
      <c r="T114"/>
      <c r="U114"/>
      <c r="V114"/>
      <c r="W114"/>
    </row>
    <row r="115" spans="14:23" ht="14.4" hidden="1" x14ac:dyDescent="0.3">
      <c r="N115"/>
      <c r="O115"/>
      <c r="P115"/>
      <c r="Q115"/>
      <c r="R115"/>
      <c r="S115"/>
      <c r="T115"/>
      <c r="U115"/>
      <c r="V115"/>
      <c r="W115"/>
    </row>
    <row r="116" spans="14:23" ht="14.4" hidden="1" x14ac:dyDescent="0.3">
      <c r="N116"/>
      <c r="O116"/>
      <c r="P116"/>
      <c r="Q116"/>
      <c r="R116"/>
      <c r="S116"/>
      <c r="T116"/>
      <c r="U116"/>
      <c r="V116"/>
      <c r="W116"/>
    </row>
    <row r="117" spans="14:23" ht="14.4" hidden="1" x14ac:dyDescent="0.3">
      <c r="N117"/>
      <c r="O117"/>
      <c r="P117"/>
      <c r="Q117"/>
      <c r="R117"/>
      <c r="S117"/>
      <c r="T117"/>
      <c r="U117"/>
      <c r="V117"/>
      <c r="W117"/>
    </row>
    <row r="118" spans="14:23" ht="14.4" hidden="1" x14ac:dyDescent="0.3">
      <c r="N118"/>
      <c r="O118"/>
      <c r="P118"/>
      <c r="Q118"/>
      <c r="R118"/>
      <c r="S118"/>
      <c r="T118"/>
      <c r="U118"/>
      <c r="V118"/>
      <c r="W118"/>
    </row>
    <row r="119" spans="14:23" ht="14.4" hidden="1" x14ac:dyDescent="0.3">
      <c r="N119"/>
      <c r="O119"/>
      <c r="P119"/>
      <c r="Q119"/>
      <c r="R119"/>
      <c r="S119"/>
      <c r="T119"/>
      <c r="U119"/>
      <c r="V119"/>
      <c r="W119"/>
    </row>
    <row r="120" spans="14:23" ht="14.4" hidden="1" x14ac:dyDescent="0.3">
      <c r="N120"/>
      <c r="O120"/>
      <c r="P120"/>
      <c r="Q120"/>
      <c r="R120"/>
      <c r="S120"/>
      <c r="T120"/>
      <c r="U120"/>
      <c r="V120"/>
      <c r="W120"/>
    </row>
    <row r="121" spans="14:23" ht="14.4" hidden="1" x14ac:dyDescent="0.3">
      <c r="N121"/>
      <c r="O121"/>
      <c r="P121"/>
      <c r="Q121"/>
      <c r="R121"/>
      <c r="S121"/>
      <c r="T121"/>
      <c r="U121"/>
      <c r="V121"/>
      <c r="W121"/>
    </row>
    <row r="122" spans="14:23" ht="14.4" hidden="1" x14ac:dyDescent="0.3">
      <c r="N122"/>
      <c r="O122"/>
      <c r="P122"/>
      <c r="Q122"/>
      <c r="R122"/>
      <c r="S122"/>
      <c r="T122"/>
      <c r="U122"/>
      <c r="V122"/>
      <c r="W122"/>
    </row>
    <row r="123" spans="14:23" ht="14.4" hidden="1" x14ac:dyDescent="0.3">
      <c r="N123"/>
      <c r="O123"/>
      <c r="P123"/>
      <c r="Q123"/>
      <c r="R123"/>
      <c r="S123"/>
      <c r="T123"/>
      <c r="U123"/>
      <c r="V123"/>
      <c r="W123"/>
    </row>
    <row r="124" spans="14:23" ht="14.4" hidden="1" x14ac:dyDescent="0.3">
      <c r="N124"/>
      <c r="O124"/>
      <c r="P124"/>
      <c r="Q124"/>
      <c r="R124"/>
      <c r="S124"/>
      <c r="T124"/>
      <c r="U124"/>
      <c r="V124"/>
      <c r="W124"/>
    </row>
    <row r="125" spans="14:23" ht="14.4" hidden="1" x14ac:dyDescent="0.3">
      <c r="N125"/>
      <c r="O125"/>
      <c r="P125"/>
      <c r="Q125"/>
      <c r="R125"/>
      <c r="S125"/>
      <c r="T125"/>
      <c r="U125"/>
      <c r="V125"/>
      <c r="W125"/>
    </row>
    <row r="126" spans="14:23" ht="14.4" hidden="1" x14ac:dyDescent="0.3">
      <c r="N126"/>
      <c r="O126"/>
      <c r="P126"/>
      <c r="Q126"/>
      <c r="R126"/>
      <c r="S126"/>
      <c r="T126"/>
      <c r="U126"/>
      <c r="V126"/>
      <c r="W126"/>
    </row>
    <row r="127" spans="14:23" ht="14.4" hidden="1" x14ac:dyDescent="0.3">
      <c r="N127"/>
      <c r="O127"/>
      <c r="P127"/>
      <c r="Q127"/>
      <c r="R127"/>
      <c r="S127"/>
      <c r="T127"/>
      <c r="U127"/>
      <c r="V127"/>
      <c r="W127"/>
    </row>
    <row r="128" spans="14:23" ht="14.4" hidden="1" x14ac:dyDescent="0.3">
      <c r="N128"/>
      <c r="O128"/>
      <c r="P128"/>
      <c r="Q128"/>
      <c r="R128"/>
      <c r="S128"/>
      <c r="T128"/>
      <c r="U128"/>
      <c r="V128"/>
      <c r="W128"/>
    </row>
    <row r="129" spans="14:23" ht="14.4" hidden="1" x14ac:dyDescent="0.3">
      <c r="N129"/>
      <c r="O129"/>
      <c r="P129"/>
      <c r="Q129"/>
      <c r="R129"/>
      <c r="S129"/>
      <c r="T129"/>
      <c r="U129"/>
      <c r="V129"/>
      <c r="W129"/>
    </row>
    <row r="130" spans="14:23" ht="14.4" hidden="1" x14ac:dyDescent="0.3">
      <c r="N130"/>
      <c r="O130"/>
      <c r="P130"/>
      <c r="Q130"/>
      <c r="R130"/>
      <c r="S130"/>
      <c r="T130"/>
      <c r="U130"/>
      <c r="V130"/>
      <c r="W130"/>
    </row>
    <row r="131" spans="14:23" ht="14.4" hidden="1" x14ac:dyDescent="0.3">
      <c r="N131"/>
      <c r="O131"/>
      <c r="P131"/>
      <c r="Q131"/>
      <c r="R131"/>
      <c r="S131"/>
      <c r="T131"/>
      <c r="U131"/>
      <c r="V131"/>
      <c r="W131"/>
    </row>
    <row r="132" spans="14:23" ht="14.4" hidden="1" x14ac:dyDescent="0.3">
      <c r="N132"/>
      <c r="O132"/>
      <c r="P132"/>
      <c r="Q132"/>
      <c r="R132"/>
      <c r="S132"/>
      <c r="T132"/>
      <c r="U132"/>
      <c r="V132"/>
      <c r="W132"/>
    </row>
    <row r="133" spans="14:23" ht="14.4" hidden="1" x14ac:dyDescent="0.3">
      <c r="N133"/>
      <c r="O133"/>
      <c r="P133"/>
      <c r="Q133"/>
      <c r="R133"/>
      <c r="S133"/>
      <c r="T133"/>
      <c r="U133"/>
      <c r="V133"/>
      <c r="W133"/>
    </row>
    <row r="134" spans="14:23" ht="14.4" hidden="1" x14ac:dyDescent="0.3">
      <c r="N134"/>
      <c r="O134"/>
      <c r="P134"/>
      <c r="Q134"/>
      <c r="R134"/>
      <c r="S134"/>
      <c r="T134"/>
      <c r="U134"/>
      <c r="V134"/>
      <c r="W134"/>
    </row>
    <row r="135" spans="14:23" ht="14.4" hidden="1" x14ac:dyDescent="0.3">
      <c r="N135"/>
      <c r="O135"/>
      <c r="P135"/>
      <c r="Q135"/>
      <c r="R135"/>
      <c r="S135"/>
      <c r="T135"/>
      <c r="U135"/>
      <c r="V135"/>
      <c r="W135"/>
    </row>
    <row r="136" spans="14:23" ht="14.4" hidden="1" x14ac:dyDescent="0.3">
      <c r="N136"/>
      <c r="O136"/>
      <c r="P136"/>
      <c r="Q136"/>
      <c r="R136"/>
      <c r="S136"/>
      <c r="T136"/>
      <c r="U136"/>
      <c r="V136"/>
      <c r="W136"/>
    </row>
    <row r="137" spans="14:23" ht="14.4" hidden="1" x14ac:dyDescent="0.3">
      <c r="N137"/>
      <c r="O137"/>
      <c r="P137"/>
      <c r="Q137"/>
      <c r="R137"/>
      <c r="S137"/>
      <c r="T137"/>
      <c r="U137"/>
      <c r="V137"/>
      <c r="W137"/>
    </row>
    <row r="138" spans="14:23" ht="14.4" hidden="1" x14ac:dyDescent="0.3">
      <c r="N138"/>
      <c r="O138"/>
      <c r="P138"/>
      <c r="Q138"/>
      <c r="R138"/>
      <c r="S138"/>
      <c r="T138"/>
      <c r="U138"/>
      <c r="V138"/>
      <c r="W138"/>
    </row>
    <row r="139" spans="14:23" ht="14.4" hidden="1" x14ac:dyDescent="0.3">
      <c r="N139"/>
      <c r="O139"/>
      <c r="P139"/>
      <c r="Q139"/>
      <c r="R139"/>
      <c r="S139"/>
      <c r="T139"/>
      <c r="U139"/>
      <c r="V139"/>
      <c r="W139"/>
    </row>
    <row r="140" spans="14:23" ht="14.4" hidden="1" x14ac:dyDescent="0.3">
      <c r="N140"/>
      <c r="O140"/>
      <c r="P140"/>
      <c r="Q140"/>
      <c r="R140"/>
      <c r="S140"/>
      <c r="T140"/>
      <c r="U140"/>
      <c r="V140"/>
      <c r="W140"/>
    </row>
    <row r="141" spans="14:23" ht="14.4" hidden="1" x14ac:dyDescent="0.3">
      <c r="N141"/>
      <c r="O141"/>
      <c r="P141"/>
      <c r="Q141"/>
      <c r="R141"/>
      <c r="S141"/>
      <c r="T141"/>
      <c r="U141"/>
      <c r="V141"/>
      <c r="W141"/>
    </row>
    <row r="142" spans="14:23" ht="14.4" hidden="1" x14ac:dyDescent="0.3">
      <c r="N142"/>
      <c r="O142"/>
      <c r="P142"/>
      <c r="Q142"/>
      <c r="R142"/>
      <c r="S142"/>
      <c r="T142"/>
      <c r="U142"/>
      <c r="V142"/>
      <c r="W142"/>
    </row>
    <row r="143" spans="14:23" ht="14.4" hidden="1" x14ac:dyDescent="0.3">
      <c r="N143"/>
      <c r="O143"/>
      <c r="P143"/>
      <c r="Q143"/>
      <c r="R143"/>
      <c r="S143"/>
      <c r="T143"/>
      <c r="U143"/>
      <c r="V143"/>
      <c r="W143"/>
    </row>
    <row r="144" spans="14:23" ht="14.4" hidden="1" x14ac:dyDescent="0.3">
      <c r="N144"/>
      <c r="O144"/>
      <c r="P144"/>
      <c r="Q144"/>
      <c r="R144"/>
      <c r="S144"/>
      <c r="T144"/>
      <c r="U144"/>
      <c r="V144"/>
      <c r="W144"/>
    </row>
    <row r="145" spans="14:23" ht="14.4" hidden="1" x14ac:dyDescent="0.3">
      <c r="N145"/>
      <c r="O145"/>
      <c r="P145"/>
      <c r="Q145"/>
      <c r="R145"/>
      <c r="S145"/>
      <c r="T145"/>
      <c r="U145"/>
      <c r="V145"/>
      <c r="W145"/>
    </row>
    <row r="146" spans="14:23" ht="14.4" hidden="1" x14ac:dyDescent="0.3">
      <c r="N146"/>
      <c r="O146"/>
      <c r="P146"/>
      <c r="Q146"/>
      <c r="R146"/>
      <c r="S146"/>
      <c r="T146"/>
      <c r="U146"/>
      <c r="V146"/>
      <c r="W146"/>
    </row>
    <row r="147" spans="14:23" ht="14.4" hidden="1" x14ac:dyDescent="0.3">
      <c r="N147"/>
      <c r="O147"/>
      <c r="P147"/>
      <c r="Q147"/>
      <c r="R147"/>
      <c r="S147"/>
      <c r="T147"/>
      <c r="U147"/>
      <c r="V147"/>
      <c r="W147"/>
    </row>
    <row r="148" spans="14:23" ht="14.4" hidden="1" x14ac:dyDescent="0.3">
      <c r="N148"/>
      <c r="O148"/>
      <c r="P148"/>
      <c r="Q148"/>
      <c r="R148"/>
      <c r="S148"/>
    </row>
    <row r="149" spans="14:23" ht="14.4" hidden="1" x14ac:dyDescent="0.3">
      <c r="N149"/>
      <c r="O149"/>
      <c r="P149"/>
      <c r="Q149"/>
      <c r="R149"/>
      <c r="S149"/>
    </row>
    <row r="150" spans="14:23" ht="14.4" hidden="1" x14ac:dyDescent="0.3">
      <c r="N150"/>
      <c r="O150"/>
      <c r="P150"/>
      <c r="Q150"/>
      <c r="R150"/>
      <c r="S150"/>
    </row>
    <row r="151" spans="14:23" ht="14.4" hidden="1" x14ac:dyDescent="0.3">
      <c r="N151"/>
      <c r="O151"/>
      <c r="P151"/>
      <c r="Q151"/>
      <c r="R151"/>
      <c r="S151"/>
    </row>
    <row r="152" spans="14:23" ht="14.4" hidden="1" x14ac:dyDescent="0.3">
      <c r="N152"/>
      <c r="O152"/>
      <c r="P152"/>
      <c r="Q152"/>
      <c r="R152"/>
      <c r="S152"/>
    </row>
    <row r="153" spans="14:23" ht="14.4" hidden="1" x14ac:dyDescent="0.3">
      <c r="N153"/>
      <c r="O153"/>
      <c r="P153"/>
      <c r="Q153"/>
      <c r="R153"/>
      <c r="S153"/>
    </row>
    <row r="154" spans="14:23" ht="14.4" hidden="1" x14ac:dyDescent="0.3">
      <c r="N154"/>
      <c r="O154"/>
      <c r="P154"/>
      <c r="Q154"/>
      <c r="R154"/>
      <c r="S154"/>
    </row>
    <row r="155" spans="14:23" ht="14.4" hidden="1" x14ac:dyDescent="0.3">
      <c r="N155"/>
      <c r="O155"/>
      <c r="P155"/>
      <c r="Q155"/>
      <c r="R155"/>
      <c r="S155"/>
    </row>
    <row r="156" spans="14:23" ht="14.4" hidden="1" x14ac:dyDescent="0.3">
      <c r="N156"/>
      <c r="O156"/>
      <c r="P156"/>
      <c r="Q156"/>
      <c r="R156"/>
      <c r="S156"/>
    </row>
    <row r="157" spans="14:23" ht="14.4" hidden="1" x14ac:dyDescent="0.3">
      <c r="N157"/>
      <c r="O157"/>
      <c r="P157"/>
      <c r="Q157"/>
      <c r="R157"/>
      <c r="S157"/>
    </row>
    <row r="158" spans="14:23" ht="14.4" hidden="1" x14ac:dyDescent="0.3">
      <c r="N158"/>
      <c r="O158"/>
      <c r="P158"/>
      <c r="Q158"/>
      <c r="R158"/>
      <c r="S158"/>
    </row>
    <row r="159" spans="14:23" ht="14.4" hidden="1" x14ac:dyDescent="0.3">
      <c r="N159"/>
      <c r="O159"/>
      <c r="P159"/>
      <c r="Q159"/>
      <c r="R159"/>
      <c r="S159"/>
    </row>
    <row r="160" spans="14:23" ht="14.4" hidden="1" x14ac:dyDescent="0.3">
      <c r="N160"/>
      <c r="O160"/>
      <c r="P160"/>
      <c r="Q160"/>
      <c r="R160"/>
      <c r="S160"/>
    </row>
    <row r="161" spans="14:19" ht="14.4" hidden="1" x14ac:dyDescent="0.3">
      <c r="N161"/>
      <c r="O161"/>
      <c r="P161"/>
      <c r="Q161"/>
      <c r="R161"/>
      <c r="S161"/>
    </row>
    <row r="162" spans="14:19" ht="14.4" hidden="1" x14ac:dyDescent="0.3">
      <c r="N162"/>
      <c r="O162"/>
      <c r="P162"/>
      <c r="Q162"/>
      <c r="R162"/>
      <c r="S162"/>
    </row>
    <row r="163" spans="14:19" ht="14.4" hidden="1" x14ac:dyDescent="0.3">
      <c r="N163"/>
      <c r="O163"/>
      <c r="P163"/>
      <c r="Q163"/>
      <c r="R163"/>
      <c r="S163"/>
    </row>
    <row r="164" spans="14:19" ht="14.4" hidden="1" x14ac:dyDescent="0.3">
      <c r="N164"/>
      <c r="O164"/>
      <c r="P164"/>
      <c r="Q164"/>
      <c r="R164"/>
      <c r="S164"/>
    </row>
    <row r="165" spans="14:19" ht="14.4" hidden="1" x14ac:dyDescent="0.3">
      <c r="N165"/>
      <c r="O165"/>
      <c r="P165"/>
      <c r="Q165"/>
      <c r="R165"/>
      <c r="S165"/>
    </row>
    <row r="166" spans="14:19" ht="14.4" hidden="1" x14ac:dyDescent="0.3">
      <c r="N166"/>
      <c r="O166"/>
      <c r="P166"/>
      <c r="Q166"/>
      <c r="R166"/>
      <c r="S166"/>
    </row>
    <row r="167" spans="14:19" ht="14.4" hidden="1" x14ac:dyDescent="0.3">
      <c r="N167"/>
      <c r="O167"/>
      <c r="P167"/>
      <c r="Q167"/>
      <c r="R167"/>
      <c r="S167"/>
    </row>
    <row r="168" spans="14:19" ht="14.4" hidden="1" x14ac:dyDescent="0.3">
      <c r="N168"/>
      <c r="O168"/>
      <c r="P168"/>
      <c r="Q168"/>
      <c r="R168"/>
      <c r="S168"/>
    </row>
    <row r="169" spans="14:19" ht="14.4" hidden="1" x14ac:dyDescent="0.3">
      <c r="N169"/>
      <c r="O169"/>
      <c r="P169"/>
      <c r="Q169"/>
      <c r="R169"/>
      <c r="S169"/>
    </row>
    <row r="170" spans="14:19" ht="14.4" hidden="1" x14ac:dyDescent="0.3">
      <c r="N170"/>
      <c r="O170"/>
      <c r="P170"/>
      <c r="Q170"/>
      <c r="R170"/>
      <c r="S170"/>
    </row>
    <row r="171" spans="14:19" ht="14.4" hidden="1" x14ac:dyDescent="0.3">
      <c r="N171"/>
      <c r="O171"/>
      <c r="P171"/>
      <c r="Q171"/>
      <c r="R171"/>
      <c r="S171"/>
    </row>
    <row r="172" spans="14:19" ht="14.4" hidden="1" x14ac:dyDescent="0.3">
      <c r="N172"/>
      <c r="O172"/>
      <c r="P172"/>
      <c r="Q172"/>
      <c r="R172"/>
      <c r="S172"/>
    </row>
  </sheetData>
  <sheetProtection selectLockedCells="1" selectUnlockedCells="1"/>
  <mergeCells count="3">
    <mergeCell ref="G74:M74"/>
    <mergeCell ref="K7:M7"/>
    <mergeCell ref="K9:M9"/>
  </mergeCells>
  <conditionalFormatting sqref="J10:M10">
    <cfRule type="containsText" dxfId="1" priority="1" operator="containsText" text="OK">
      <formula>NOT(ISERROR(SEARCH("OK",J10)))</formula>
    </cfRule>
    <cfRule type="containsText" dxfId="0" priority="2" operator="containsText" text="ERROR">
      <formula>NOT(ISERROR(SEARCH("ERROR",J10)))</formula>
    </cfRule>
  </conditionalFormatting>
  <dataValidations xWindow="1460" yWindow="999" count="1">
    <dataValidation allowBlank="1" showInputMessage="1" showErrorMessage="1" promptTitle="Based on year-end balance" prompt="For the sake of comparability, ROA &amp; ROE are based on year-end total assets and equity and not the averages of current and previous year." sqref="G81:G82 J81:L82" xr:uid="{DA47DCD8-C12D-4A4B-A7EB-BD5E52BC42AA}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2EA0-7330-4BCA-A212-9080C7AA1F81}">
  <sheetPr>
    <tabColor rgb="FF2E3B42"/>
  </sheetPr>
  <dimension ref="A1"/>
  <sheetViews>
    <sheetView showGridLines="0" zoomScale="90" zoomScaleNormal="90" workbookViewId="0">
      <selection activeCell="I34" sqref="I34"/>
    </sheetView>
  </sheetViews>
  <sheetFormatPr defaultColWidth="8.77734375" defaultRowHeight="14.4" x14ac:dyDescent="0.3"/>
  <cols>
    <col min="1" max="16384" width="8.77734375" style="176"/>
  </cols>
  <sheetData/>
  <sheetProtection algorithmName="SHA-512" hashValue="rMoiptL9STGkAhZiDUE3fKjaQDeZMh6J2pJ22wCtCqP6NSY1vItPc87b6rYBy1lx3JrszAC3l3MTVbglpdrD9g==" saltValue="KY0c+keddUDpj8ar6H8ejg==" spinCount="100000" sheet="1" objects="1" scenarios="1" selectLockedCells="1" selectUn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A074-CC0F-4C86-AC32-4142D91DBE8E}">
  <dimension ref="A1:F42"/>
  <sheetViews>
    <sheetView workbookViewId="0">
      <selection activeCell="F8" sqref="F8:F14"/>
    </sheetView>
  </sheetViews>
  <sheetFormatPr defaultColWidth="8.77734375" defaultRowHeight="14.4" x14ac:dyDescent="0.3"/>
  <cols>
    <col min="4" max="4" width="10.109375" bestFit="1" customWidth="1"/>
    <col min="6" max="6" width="19.109375" bestFit="1" customWidth="1"/>
  </cols>
  <sheetData>
    <row r="1" spans="1:6" x14ac:dyDescent="0.3">
      <c r="A1" t="s">
        <v>92</v>
      </c>
      <c r="B1" t="s">
        <v>87</v>
      </c>
      <c r="C1" t="s">
        <v>96</v>
      </c>
      <c r="D1" t="s">
        <v>129</v>
      </c>
      <c r="E1" t="s">
        <v>135</v>
      </c>
      <c r="F1" t="s">
        <v>154</v>
      </c>
    </row>
    <row r="2" spans="1:6" x14ac:dyDescent="0.3">
      <c r="A2" t="s">
        <v>93</v>
      </c>
      <c r="B2" s="61">
        <v>-1</v>
      </c>
      <c r="C2" t="s">
        <v>97</v>
      </c>
      <c r="D2" t="s">
        <v>130</v>
      </c>
      <c r="E2">
        <v>0</v>
      </c>
      <c r="F2">
        <v>-120</v>
      </c>
    </row>
    <row r="3" spans="1:6" x14ac:dyDescent="0.3">
      <c r="A3" t="s">
        <v>94</v>
      </c>
      <c r="B3" s="61">
        <v>-0.95</v>
      </c>
      <c r="C3" t="s">
        <v>98</v>
      </c>
      <c r="D3" t="s">
        <v>131</v>
      </c>
      <c r="E3">
        <v>1</v>
      </c>
      <c r="F3">
        <v>-90</v>
      </c>
    </row>
    <row r="4" spans="1:6" x14ac:dyDescent="0.3">
      <c r="A4" t="s">
        <v>95</v>
      </c>
      <c r="B4" s="61">
        <v>-0.9</v>
      </c>
      <c r="D4" t="s">
        <v>132</v>
      </c>
      <c r="E4">
        <v>2</v>
      </c>
      <c r="F4">
        <v>-60</v>
      </c>
    </row>
    <row r="5" spans="1:6" x14ac:dyDescent="0.3">
      <c r="B5" s="61">
        <v>-0.85</v>
      </c>
      <c r="D5" t="s">
        <v>105</v>
      </c>
      <c r="E5">
        <v>3</v>
      </c>
      <c r="F5">
        <v>-30</v>
      </c>
    </row>
    <row r="6" spans="1:6" x14ac:dyDescent="0.3">
      <c r="B6" s="61">
        <v>-0.8</v>
      </c>
      <c r="D6" t="s">
        <v>76</v>
      </c>
      <c r="E6">
        <v>4</v>
      </c>
      <c r="F6">
        <v>-14</v>
      </c>
    </row>
    <row r="7" spans="1:6" x14ac:dyDescent="0.3">
      <c r="B7" s="61">
        <v>-0.75</v>
      </c>
      <c r="D7" t="s">
        <v>106</v>
      </c>
      <c r="E7">
        <v>5</v>
      </c>
      <c r="F7">
        <v>-7</v>
      </c>
    </row>
    <row r="8" spans="1:6" x14ac:dyDescent="0.3">
      <c r="B8" s="61">
        <v>-0.7</v>
      </c>
      <c r="D8" t="s">
        <v>107</v>
      </c>
      <c r="E8">
        <v>6</v>
      </c>
      <c r="F8">
        <v>0</v>
      </c>
    </row>
    <row r="9" spans="1:6" x14ac:dyDescent="0.3">
      <c r="B9" s="61">
        <v>-0.65</v>
      </c>
      <c r="D9" t="s">
        <v>108</v>
      </c>
      <c r="E9">
        <v>7</v>
      </c>
      <c r="F9" s="128">
        <v>7</v>
      </c>
    </row>
    <row r="10" spans="1:6" x14ac:dyDescent="0.3">
      <c r="B10" s="61">
        <v>-0.6</v>
      </c>
      <c r="D10" t="s">
        <v>109</v>
      </c>
      <c r="E10">
        <v>8</v>
      </c>
      <c r="F10" s="128">
        <v>14</v>
      </c>
    </row>
    <row r="11" spans="1:6" x14ac:dyDescent="0.3">
      <c r="B11" s="61">
        <v>-0.55000000000000004</v>
      </c>
      <c r="D11" t="s">
        <v>110</v>
      </c>
      <c r="E11">
        <v>9</v>
      </c>
      <c r="F11" s="128">
        <v>30</v>
      </c>
    </row>
    <row r="12" spans="1:6" x14ac:dyDescent="0.3">
      <c r="B12" s="61">
        <v>-0.5</v>
      </c>
      <c r="D12" t="s">
        <v>111</v>
      </c>
      <c r="E12">
        <v>10</v>
      </c>
      <c r="F12" s="128">
        <v>60</v>
      </c>
    </row>
    <row r="13" spans="1:6" x14ac:dyDescent="0.3">
      <c r="B13" s="61">
        <v>-0.45</v>
      </c>
      <c r="D13" t="s">
        <v>112</v>
      </c>
      <c r="E13">
        <v>11</v>
      </c>
      <c r="F13" s="128">
        <v>90</v>
      </c>
    </row>
    <row r="14" spans="1:6" x14ac:dyDescent="0.3">
      <c r="B14" s="61">
        <v>-0.4</v>
      </c>
      <c r="D14" t="s">
        <v>139</v>
      </c>
      <c r="E14">
        <v>12</v>
      </c>
      <c r="F14" s="128">
        <v>120</v>
      </c>
    </row>
    <row r="15" spans="1:6" x14ac:dyDescent="0.3">
      <c r="B15" s="61">
        <v>-0.35</v>
      </c>
      <c r="E15">
        <v>13</v>
      </c>
    </row>
    <row r="16" spans="1:6" x14ac:dyDescent="0.3">
      <c r="B16" s="61">
        <v>-0.3</v>
      </c>
      <c r="E16">
        <v>14</v>
      </c>
    </row>
    <row r="17" spans="2:5" x14ac:dyDescent="0.3">
      <c r="B17" s="61">
        <v>-0.25</v>
      </c>
      <c r="E17">
        <v>15</v>
      </c>
    </row>
    <row r="18" spans="2:5" x14ac:dyDescent="0.3">
      <c r="B18" s="61">
        <v>-0.2</v>
      </c>
      <c r="E18">
        <v>16</v>
      </c>
    </row>
    <row r="19" spans="2:5" x14ac:dyDescent="0.3">
      <c r="B19" s="61">
        <v>-0.15</v>
      </c>
      <c r="E19">
        <v>17</v>
      </c>
    </row>
    <row r="20" spans="2:5" x14ac:dyDescent="0.3">
      <c r="B20" s="61">
        <v>-0.1</v>
      </c>
      <c r="E20">
        <v>18</v>
      </c>
    </row>
    <row r="21" spans="2:5" x14ac:dyDescent="0.3">
      <c r="B21" s="61">
        <v>-0.05</v>
      </c>
      <c r="E21">
        <v>19</v>
      </c>
    </row>
    <row r="22" spans="2:5" x14ac:dyDescent="0.3">
      <c r="B22" s="2">
        <v>0</v>
      </c>
      <c r="E22">
        <v>20</v>
      </c>
    </row>
    <row r="23" spans="2:5" x14ac:dyDescent="0.3">
      <c r="B23" s="62">
        <v>0.05</v>
      </c>
      <c r="E23">
        <v>21</v>
      </c>
    </row>
    <row r="24" spans="2:5" x14ac:dyDescent="0.3">
      <c r="B24" s="62">
        <v>0.1</v>
      </c>
      <c r="E24">
        <v>22</v>
      </c>
    </row>
    <row r="25" spans="2:5" x14ac:dyDescent="0.3">
      <c r="B25" s="62">
        <v>0.15</v>
      </c>
      <c r="E25">
        <v>23</v>
      </c>
    </row>
    <row r="26" spans="2:5" x14ac:dyDescent="0.3">
      <c r="B26" s="62">
        <v>0.2</v>
      </c>
      <c r="E26">
        <v>24</v>
      </c>
    </row>
    <row r="27" spans="2:5" x14ac:dyDescent="0.3">
      <c r="B27" s="62">
        <v>0.25</v>
      </c>
      <c r="E27">
        <v>25</v>
      </c>
    </row>
    <row r="28" spans="2:5" x14ac:dyDescent="0.3">
      <c r="B28" s="62">
        <v>0.3</v>
      </c>
      <c r="E28">
        <v>26</v>
      </c>
    </row>
    <row r="29" spans="2:5" x14ac:dyDescent="0.3">
      <c r="B29" s="62">
        <v>0.35</v>
      </c>
      <c r="E29">
        <v>27</v>
      </c>
    </row>
    <row r="30" spans="2:5" x14ac:dyDescent="0.3">
      <c r="B30" s="62">
        <v>0.4</v>
      </c>
      <c r="E30">
        <v>28</v>
      </c>
    </row>
    <row r="31" spans="2:5" x14ac:dyDescent="0.3">
      <c r="B31" s="62">
        <v>0.45</v>
      </c>
      <c r="E31">
        <v>29</v>
      </c>
    </row>
    <row r="32" spans="2:5" x14ac:dyDescent="0.3">
      <c r="B32" s="62">
        <v>0.5</v>
      </c>
      <c r="E32">
        <v>30</v>
      </c>
    </row>
    <row r="33" spans="2:5" x14ac:dyDescent="0.3">
      <c r="B33" s="62">
        <v>0.55000000000000004</v>
      </c>
      <c r="E33">
        <v>31</v>
      </c>
    </row>
    <row r="34" spans="2:5" x14ac:dyDescent="0.3">
      <c r="B34" s="62">
        <v>0.6</v>
      </c>
    </row>
    <row r="35" spans="2:5" x14ac:dyDescent="0.3">
      <c r="B35" s="62">
        <v>0.65</v>
      </c>
    </row>
    <row r="36" spans="2:5" x14ac:dyDescent="0.3">
      <c r="B36" s="62">
        <v>0.7</v>
      </c>
    </row>
    <row r="37" spans="2:5" x14ac:dyDescent="0.3">
      <c r="B37" s="62">
        <v>0.75</v>
      </c>
    </row>
    <row r="38" spans="2:5" x14ac:dyDescent="0.3">
      <c r="B38" s="62">
        <v>0.8</v>
      </c>
    </row>
    <row r="39" spans="2:5" x14ac:dyDescent="0.3">
      <c r="B39" s="62">
        <v>0.85</v>
      </c>
    </row>
    <row r="40" spans="2:5" x14ac:dyDescent="0.3">
      <c r="B40" s="62">
        <v>0.9</v>
      </c>
    </row>
    <row r="41" spans="2:5" x14ac:dyDescent="0.3">
      <c r="B41" s="62">
        <v>0.95</v>
      </c>
    </row>
    <row r="42" spans="2:5" x14ac:dyDescent="0.3">
      <c r="B42" s="62">
        <v>1</v>
      </c>
    </row>
  </sheetData>
  <sheetProtection algorithmName="SHA-512" hashValue="GRo7JTpfvW3dbr4m6O1zMlDiBEm9RonjUvJNagCnDw07kg3Fss/ZGtf1VO7aSubV/KEd10c/1N9uxdixxXgf+Q==" saltValue="fRYaZPb08WPVdhDgBcmeyA==" spinCount="100000" sheet="1" objects="1" scenarios="1" selectLockedCells="1" selectUnlockedCells="1"/>
  <sortState xmlns:xlrd2="http://schemas.microsoft.com/office/spreadsheetml/2017/richdata2" ref="B2:B42">
    <sortCondition ref="B42"/>
  </sortState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p W D U M K f r V u n A A A A + A A A A B I A H A B D b 2 5 m a W c v U G F j a 2 F n Z S 5 4 b W w g o h g A K K A U A A A A A A A A A A A A A A A A A A A A A A A A A A A A h Y / B C o I w H I d f R X Z 3 m 2 Y o 8 n d C 0 S 0 h C K L r m E t H O s P N 5 r t 1 6 J F 6 h Y S y u n X 8 f X y H 7 / e 4 3 S E f 2 8 a 7 y t 6 o T m c o w B R 5 U o u u V L r K 0 G B P f o J y B j s u z r y S 3 i R r k 4 6 m z F B t 7 S U l x D m H 3 Q J 3 f U V C S g N y L L Z 7 U c u W o 4 + s / s u + 0 s Z y L S R i c H j F s B D H C V 7 G E c V R E g C Z M R R K f 5 V w K s Y U y A + E 9 d D Y o Z d M a n + 1 A T J P I O 8 X 7 A l Q S w M E F A A C A A g A h p W D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a V g 1 A o i k e 4 D g A A A B E A A A A T A B w A R m 9 y b X V s Y X M v U 2 V j d G l v b j E u b S C i G A A o o B Q A A A A A A A A A A A A A A A A A A A A A A A A A A A A r T k 0 u y c z P U w i G 0 I b W A F B L A Q I t A B Q A A g A I A I a V g 1 D C n 6 1 b p w A A A P g A A A A S A A A A A A A A A A A A A A A A A A A A A A B D b 2 5 m a W c v U G F j a 2 F n Z S 5 4 b W x Q S w E C L Q A U A A I A C A C G l Y N Q D 8 r p q 6 Q A A A D p A A A A E w A A A A A A A A A A A A A A A A D z A A A A W 0 N v b n R l b n R f V H l w Z X N d L n h t b F B L A Q I t A B Q A A g A I A I a V g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1 K A Q a y J d F R q 3 E G g y 1 A 3 c C A A A A A A I A A A A A A B B m A A A A A Q A A I A A A A D 4 f x i N Y 1 x a l B n 3 K a Q d i g J m / N c d r U e k 4 i l A U o b U q u t / L A A A A A A 6 A A A A A A g A A I A A A A J 8 N M D h c t Z a / V 3 y V 5 J 2 + I + 1 r n N / 0 L o C J P v H a + l E z d R 6 u U A A A A N t p x q V j 4 A H E t g g C L + T o Y w m y a G e m h t 0 f Q M S i s M e J x A P U Y j 5 k u y M C A d e R H l 2 u z u D a k 0 W Y 6 7 o D Q N I 9 n 5 I 9 y 7 s s W M 7 Z z d b h S L a Z D / f x B A S T K T k B Q A A A A M w g l r J N C 3 k i k h K t I S j w Y q u F e l i g x 6 0 r m g J Z E U z 3 w b P B z J Z N L 5 C Y h v 2 a d P B F s C Q v p B O + Y B k K 8 f 4 b q k v y U 9 B 0 0 5 U = < / D a t a M a s h u p > 
</file>

<file path=customXml/itemProps1.xml><?xml version="1.0" encoding="utf-8"?>
<ds:datastoreItem xmlns:ds="http://schemas.openxmlformats.org/officeDocument/2006/customXml" ds:itemID="{47B50F70-8BE8-4878-B11A-8BC4C29FF8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</vt:lpstr>
      <vt:lpstr>BrightWolves CF Simulation</vt:lpstr>
      <vt:lpstr>(1) Budget 2020</vt:lpstr>
      <vt:lpstr>(2) Oper. &amp; Fin. Levers</vt:lpstr>
      <vt:lpstr>(3) Estimate</vt:lpstr>
      <vt:lpstr>(4) Analyses</vt:lpstr>
      <vt:lpstr>(5) Estimation Visuals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marnik.willems@brightwolves.eu</dc:creator>
  <cp:lastModifiedBy>Marnik Willems</cp:lastModifiedBy>
  <cp:lastPrinted>2019-05-29T13:54:26Z</cp:lastPrinted>
  <dcterms:created xsi:type="dcterms:W3CDTF">2019-05-27T12:35:55Z</dcterms:created>
  <dcterms:modified xsi:type="dcterms:W3CDTF">2020-05-10T12:22:41Z</dcterms:modified>
</cp:coreProperties>
</file>